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90" yWindow="0" windowWidth="7740" windowHeight="8250" tabRatio="596"/>
  </bookViews>
  <sheets>
    <sheet name="ส่วนที่ 2 ผลการดำเนินงาน" sheetId="5" r:id="rId1"/>
    <sheet name="ส่วนที่ 2 ตารางส1" sheetId="4" r:id="rId2"/>
    <sheet name="ส่วนที่ 2 ตารางส2" sheetId="7" r:id="rId3"/>
    <sheet name="ส่วนที่ 2 ตารางส3" sheetId="14" r:id="rId4"/>
    <sheet name="3D" sheetId="24" r:id="rId5"/>
    <sheet name="ตัวบ่งชี้ ISO รวมทุกคณะ" sheetId="16" r:id="rId6"/>
    <sheet name="แผนพัฒนา" sheetId="20" r:id="rId7"/>
    <sheet name="data set คณะ" sheetId="2" r:id="rId8"/>
    <sheet name="หลักสูตร" sheetId="22" r:id="rId9"/>
    <sheet name="คะแนน" sheetId="23" r:id="rId10"/>
  </sheets>
  <definedNames>
    <definedName name="_fac1">'ส่วนที่ 2 ตารางส1'!$D$7</definedName>
    <definedName name="_fac2">'ส่วนที่ 2 ตารางส1'!$D$21</definedName>
    <definedName name="_fac3">'ส่วนที่ 2 ตารางส1'!$D$25</definedName>
    <definedName name="_fac4">'ส่วนที่ 2 ตารางส1'!$D$31</definedName>
    <definedName name="_fac5">'ส่วนที่ 2 ตารางส1'!$D$38</definedName>
    <definedName name="_fac6">'ส่วนที่ 2 ตารางส1'!$D$41</definedName>
    <definedName name="_fac7">'ส่วนที่ 2 ตารางส1'!$D$52</definedName>
    <definedName name="_fac8">'ส่วนที่ 2 ตารางส1'!$D$56</definedName>
    <definedName name="_fac9">'ส่วนที่ 2 ตารางส1'!$D$61</definedName>
    <definedName name="_sta1" localSheetId="3">'ส่วนที่ 2 ตารางส3'!$D$21</definedName>
    <definedName name="_sta1">'ส่วนที่ 2 ตารางส2'!$D$9</definedName>
    <definedName name="_sta3" localSheetId="3">'ส่วนที่ 2 ตารางส3'!$D$51</definedName>
    <definedName name="_sta3">'ส่วนที่ 2 ตารางส2'!$D$51</definedName>
    <definedName name="aver12.1">#REF!</definedName>
    <definedName name="aver16.2">#REF!</definedName>
    <definedName name="aver17.1">#REF!</definedName>
    <definedName name="aver17.2">#REF!</definedName>
    <definedName name="aver17.3">#REF!</definedName>
    <definedName name="com12.1">#REF!</definedName>
    <definedName name="com16.2">#REF!</definedName>
    <definedName name="com17.1">#REF!</definedName>
    <definedName name="com17.2">#REF!</definedName>
    <definedName name="com17.3">#REF!</definedName>
    <definedName name="data1_1.1">'data set คณะ'!$B$6</definedName>
    <definedName name="data1_1.2">'data set คณะ'!$B$7</definedName>
    <definedName name="data1_2.1">'data set คณะ'!$B$9</definedName>
    <definedName name="data1_2.1.1">'data set คณะ'!$B$10</definedName>
    <definedName name="data1_2.1.2">'data set คณะ'!$B$12</definedName>
    <definedName name="data1_2.1.2a">'data set คณะ'!$B$13</definedName>
    <definedName name="data1_2.1.2b">'data set คณะ'!$B$14</definedName>
    <definedName name="data1_2.1.3">'data set คณะ'!$B$15</definedName>
    <definedName name="data1_2.10">'data set คณะ'!$B$51</definedName>
    <definedName name="data1_2.11">'data set คณะ'!$B$52</definedName>
    <definedName name="data1_2.12">'data set คณะ'!$B$53</definedName>
    <definedName name="data1_2.13">'data set คณะ'!$B$54</definedName>
    <definedName name="data1_2.14">'data set คณะ'!$B$55</definedName>
    <definedName name="data1_2.15">'data set คณะ'!$B$56</definedName>
    <definedName name="data1_2.16">'data set คณะ'!$B$57</definedName>
    <definedName name="data1_2.17">'data set คณะ'!$B$58</definedName>
    <definedName name="data1_2.18">'data set คณะ'!$B$59</definedName>
    <definedName name="data1_2.19">'data set คณะ'!$B$60</definedName>
    <definedName name="data1_2.2">'data set คณะ'!$B$16</definedName>
    <definedName name="data1_2.2.1">'data set คณะ'!$B$17</definedName>
    <definedName name="data1_2.2.2">'data set คณะ'!$B$19</definedName>
    <definedName name="data1_2.2.3">'data set คณะ'!$B$20</definedName>
    <definedName name="data1_2.20">'data set คณะ'!$B$61</definedName>
    <definedName name="data1_2.21">'data set คณะ'!$B$62</definedName>
    <definedName name="data1_2.22">'data set คณะ'!$B$63</definedName>
    <definedName name="data1_2.23">'data set คณะ'!$B$64</definedName>
    <definedName name="data1_2.24">'data set คณะ'!$B$65</definedName>
    <definedName name="data1_2.25">'data set คณะ'!$B$66</definedName>
    <definedName name="data1_2.25.1">'data set คณะ'!$B$67</definedName>
    <definedName name="data1_2.25.2">'data set คณะ'!$B$68</definedName>
    <definedName name="data1_2.26">'data set คณะ'!$B$69</definedName>
    <definedName name="data1_2.26.1">'data set คณะ'!$B$70</definedName>
    <definedName name="data1_2.26.2">'data set คณะ'!$B$71</definedName>
    <definedName name="data1_2.27">'data set คณะ'!$B$72</definedName>
    <definedName name="data1_2.28">'data set คณะ'!$B$73</definedName>
    <definedName name="data1_2.28.1">'data set คณะ'!$B$74</definedName>
    <definedName name="data1_2.28.2">'data set คณะ'!$B$75</definedName>
    <definedName name="data1_2.29">'data set คณะ'!$B$76</definedName>
    <definedName name="data1_2.3">'data set คณะ'!$B$21</definedName>
    <definedName name="data1_2.3.1">'data set คณะ'!$B$22</definedName>
    <definedName name="data1_2.3.2">'data set คณะ'!$B$23</definedName>
    <definedName name="data1_2.30">'data set คณะ'!$B$77</definedName>
    <definedName name="data1_2.31">'data set คณะ'!$B$78</definedName>
    <definedName name="data1_2.32">'data set คณะ'!$B$79</definedName>
    <definedName name="data1_2.33">'data set คณะ'!$B$80</definedName>
    <definedName name="data1_2.34">'data set คณะ'!$B$82</definedName>
    <definedName name="data1_2.34.1">'data set คณะ'!$B$81</definedName>
    <definedName name="data1_2.35">'data set คณะ'!#REF!</definedName>
    <definedName name="data1_2.36">'data set คณะ'!$B$83</definedName>
    <definedName name="data1_2.37">'data set คณะ'!$B$84</definedName>
    <definedName name="data1_2.38">'data set คณะ'!$B$85</definedName>
    <definedName name="data1_2.39">'data set คณะ'!$B$86</definedName>
    <definedName name="data1_2.4">'data set คณะ'!$B$24</definedName>
    <definedName name="data1_2.4.1">'data set คณะ'!$B$25</definedName>
    <definedName name="data1_2.4.2">'data set คณะ'!$B$26</definedName>
    <definedName name="data1_2.40">'data set คณะ'!$B$87</definedName>
    <definedName name="data1_2.40.1">'data set คณะ'!$B$88</definedName>
    <definedName name="data1_2.40.2">'data set คณะ'!$B$89</definedName>
    <definedName name="data1_2.40.3">'data set คณะ'!$B$90</definedName>
    <definedName name="data1_2.40.4">'data set คณะ'!$B$91</definedName>
    <definedName name="data1_2.40.5">'data set คณะ'!$B$92</definedName>
    <definedName name="data1_2.41">'data set คณะ'!$B$93</definedName>
    <definedName name="data1_2.41.1">'data set คณะ'!$B$94</definedName>
    <definedName name="data1_2.41.2">'data set คณะ'!$B$95</definedName>
    <definedName name="data1_2.41.3">'data set คณะ'!$B$96</definedName>
    <definedName name="data1_2.41.4">'data set คณะ'!$B$97</definedName>
    <definedName name="data1_2.41.5">'data set คณะ'!$B$98</definedName>
    <definedName name="data1_2.42">'data set คณะ'!$B$99</definedName>
    <definedName name="data1_2.43">'data set คณะ'!$B$100</definedName>
    <definedName name="data1_2.44">'data set คณะ'!$B$101</definedName>
    <definedName name="data1_2.44.1">'data set คณะ'!$B$102</definedName>
    <definedName name="data1_2.44.2">'data set คณะ'!$B$103</definedName>
    <definedName name="data1_2.44.3">'data set คณะ'!$B$104</definedName>
    <definedName name="data1_2.45">'data set คณะ'!$B$105</definedName>
    <definedName name="data1_2.45.1">'data set คณะ'!$B$106</definedName>
    <definedName name="data1_2.45.2">'data set คณะ'!$B$107</definedName>
    <definedName name="data1_2.45.3">'data set คณะ'!$B$108</definedName>
    <definedName name="data1_2.45.4">'data set คณะ'!$B$109</definedName>
    <definedName name="data1_2.45.5">'data set คณะ'!$B$110</definedName>
    <definedName name="data1_2.46">'data set คณะ'!$B$111</definedName>
    <definedName name="data1_2.46.1">'data set คณะ'!$B$112</definedName>
    <definedName name="data1_2.46.2">'data set คณะ'!$B$113</definedName>
    <definedName name="data1_2.46.3">'data set คณะ'!$B$114</definedName>
    <definedName name="data1_2.46.4">'data set คณะ'!$B$115</definedName>
    <definedName name="data1_2.46.5">'data set คณะ'!$B$116</definedName>
    <definedName name="data1_2.5">'data set คณะ'!$B$27</definedName>
    <definedName name="data1_2.5.1">'data set คณะ'!$B$28</definedName>
    <definedName name="data1_2.5.1a">'data set คณะ'!#REF!</definedName>
    <definedName name="data1_2.5.1b">'data set คณะ'!#REF!</definedName>
    <definedName name="data1_2.5.2">'data set คณะ'!$B$29</definedName>
    <definedName name="data1_2.5.3">'data set คณะ'!$B$30</definedName>
    <definedName name="data1_2.6">'data set คณะ'!$B$31</definedName>
    <definedName name="data1_2.6.1">'data set คณะ'!$B$32</definedName>
    <definedName name="data1_2.6.2">'data set คณะ'!$B$34</definedName>
    <definedName name="data1_2.6.3">'data set คณะ'!$B$35</definedName>
    <definedName name="data1_2.7">'data set คณะ'!$B$36</definedName>
    <definedName name="data1_2.7.1">'data set คณะ'!$B$37</definedName>
    <definedName name="data1_2.7.1a">'data set คณะ'!$B$38</definedName>
    <definedName name="data1_2.7.1b">'data set คณะ'!$B$39</definedName>
    <definedName name="data1_2.7.2">'data set คณะ'!$B$40</definedName>
    <definedName name="data1_2.7.3">'data set คณะ'!$B$41</definedName>
    <definedName name="data1_2.8">'data set คณะ'!$B$42</definedName>
    <definedName name="data1_2.8.1">'data set คณะ'!$B$43</definedName>
    <definedName name="data1_2.8.1a">'data set คณะ'!$B$44</definedName>
    <definedName name="data1_2.8.1b">'data set คณะ'!$B$45</definedName>
    <definedName name="data1_2.8.2">'data set คณะ'!$B$46</definedName>
    <definedName name="data1_2.8.3">'data set คณะ'!$B$47</definedName>
    <definedName name="data1_2.9">'data set คณะ'!$B$48</definedName>
    <definedName name="data1_2.9.1">'data set คณะ'!$B$49</definedName>
    <definedName name="data1_2.9.2">'data set คณะ'!$B$50</definedName>
    <definedName name="data1_3.1">'data set คณะ'!$B$118</definedName>
    <definedName name="data1_3.2">'data set คณะ'!$B$119</definedName>
    <definedName name="data1_3.3">'data set คณะ'!$B$120</definedName>
    <definedName name="data1_3.3.1">'data set คณะ'!$B$121</definedName>
    <definedName name="data1_3.3.10">'data set คณะ'!$B$130</definedName>
    <definedName name="data1_3.3.2">'data set คณะ'!$B$122</definedName>
    <definedName name="data1_3.3.3">'data set คณะ'!$B$123</definedName>
    <definedName name="data1_3.3.4">'data set คณะ'!$B$124</definedName>
    <definedName name="data1_3.3.5">'data set คณะ'!$B$125</definedName>
    <definedName name="data1_3.3.6">'data set คณะ'!$B$126</definedName>
    <definedName name="data1_3.3.7">'data set คณะ'!$B$127</definedName>
    <definedName name="data1_3.3.8">'data set คณะ'!$B$128</definedName>
    <definedName name="data1_3.3.9">'data set คณะ'!$B$129</definedName>
    <definedName name="data1_4.1">'data set คณะ'!$B$132</definedName>
    <definedName name="data1_4.1.1">'data set คณะ'!$B$133</definedName>
    <definedName name="data1_4.1.2">'data set คณะ'!$B$134</definedName>
    <definedName name="data1_4.2">'data set คณะ'!$B$135</definedName>
    <definedName name="data1_4.2.1">'data set คณะ'!$B$136</definedName>
    <definedName name="data1_4.2.2">'data set คณะ'!$B$137</definedName>
    <definedName name="data1_4.3">'data set คณะ'!$B$138</definedName>
    <definedName name="data1_4.3.1">'data set คณะ'!$B$139</definedName>
    <definedName name="data1_4.3.2">'data set คณะ'!$B$140</definedName>
    <definedName name="data1_4.3.3">'data set คณะ'!$B$141</definedName>
    <definedName name="data1_4.3.4">'data set คณะ'!$B$142</definedName>
    <definedName name="data1_4.3.5">'data set คณะ'!$B$143</definedName>
    <definedName name="data1_4.4">'data set คณะ'!$B$144</definedName>
    <definedName name="data1_4.5">'data set คณะ'!$B$145</definedName>
    <definedName name="data1_4.5.1">'data set คณะ'!$B$146</definedName>
    <definedName name="data1_4.5.2">'data set คณะ'!$B$147</definedName>
    <definedName name="data1_4.6">'data set คณะ'!$B$148</definedName>
    <definedName name="data1_4.6.1">'data set คณะ'!$B$149</definedName>
    <definedName name="data1_4.6.2">'data set คณะ'!$B$150</definedName>
    <definedName name="data1_5.1">'data set คณะ'!$B$152</definedName>
    <definedName name="data1_5.2">'data set คณะ'!$B$153</definedName>
    <definedName name="data1_5.3">'data set คณะ'!$B$154</definedName>
    <definedName name="data1_5.4">'data set คณะ'!$B$155</definedName>
    <definedName name="data1_6.1">'data set คณะ'!$B$157</definedName>
    <definedName name="data1_6.2">'data set คณะ'!$B$158</definedName>
    <definedName name="data1_7.1">'data set คณะ'!$B$160</definedName>
    <definedName name="data1_7.1.1">'data set คณะ'!$B$161</definedName>
    <definedName name="data1_7.1.2">'data set คณะ'!$B$162</definedName>
    <definedName name="data1_7.1.3">'data set คณะ'!$B$163</definedName>
    <definedName name="data1_7.2">'data set คณะ'!$B$164</definedName>
    <definedName name="data1_7.2.1">'data set คณะ'!$B$165</definedName>
    <definedName name="data1_7.2.2">'data set คณะ'!$B$166</definedName>
    <definedName name="data1_7.2.3">'data set คณะ'!$B$167</definedName>
    <definedName name="data1_71">'data set คณะ'!$B$160</definedName>
    <definedName name="data1_8.1">'data set คณะ'!$B$169</definedName>
    <definedName name="data1_8.10">'data set คณะ'!$B$178</definedName>
    <definedName name="data1_8.2">'data set คณะ'!$B$170</definedName>
    <definedName name="data1_8.3">'data set คณะ'!$B$171</definedName>
    <definedName name="data1_8.4">'data set คณะ'!$B$172</definedName>
    <definedName name="data1_8.5">'data set คณะ'!$B$173</definedName>
    <definedName name="data1_8.6">'data set คณะ'!$B$174</definedName>
    <definedName name="data1_8.7">'data set คณะ'!$B$175</definedName>
    <definedName name="data1_8.7.1">'data set คณะ'!#REF!</definedName>
    <definedName name="data1_8.7.2">'data set คณะ'!#REF!</definedName>
    <definedName name="data1_8.8">'data set คณะ'!$B$176</definedName>
    <definedName name="data1_8.9">'data set คณะ'!$B$177</definedName>
    <definedName name="data1_9.1">'data set คณะ'!$B$180</definedName>
    <definedName name="obj1.1">'ส่วนที่ 2 ผลการดำเนินงาน'!$D$9</definedName>
    <definedName name="obj1.2">'ส่วนที่ 2 ผลการดำเนินงาน'!$D$31</definedName>
    <definedName name="obj2.1">'ส่วนที่ 2 ผลการดำเนินงาน'!$D$44</definedName>
    <definedName name="obj2.10">'ส่วนที่ 2 ผลการดำเนินงาน'!$D$192</definedName>
    <definedName name="obj2.11">'ส่วนที่ 2 ผลการดำเนินงาน'!$D$203</definedName>
    <definedName name="obj2.12">'ส่วนที่ 2 ผลการดำเนินงาน'!$D$211</definedName>
    <definedName name="obj2.2">'ส่วนที่ 2 ผลการดำเนินงาน'!$D$64</definedName>
    <definedName name="obj2.3">'ส่วนที่ 2 ผลการดำเนินงาน'!$D$86</definedName>
    <definedName name="obj2.4">'ส่วนที่ 2 ผลการดำเนินงาน'!$D$103</definedName>
    <definedName name="obj2.5">'ส่วนที่ 2 ผลการดำเนินงาน'!$D$114</definedName>
    <definedName name="obj2.6">'ส่วนที่ 2 ผลการดำเนินงาน'!$D$128</definedName>
    <definedName name="obj2.7">'ส่วนที่ 2 ผลการดำเนินงาน'!$D$144</definedName>
    <definedName name="obj2.8">'ส่วนที่ 2 ผลการดำเนินงาน'!$D$163</definedName>
    <definedName name="obj2.9">'ส่วนที่ 2 ผลการดำเนินงาน'!$D$180</definedName>
    <definedName name="obj3.1">'ส่วนที่ 2 ผลการดำเนินงาน'!$D$224</definedName>
    <definedName name="obj3.2">'ส่วนที่ 2 ผลการดำเนินงาน'!$D$249</definedName>
    <definedName name="obj4.1">'ส่วนที่ 2 ผลการดำเนินงาน'!$D$266</definedName>
    <definedName name="obj4.2">'ส่วนที่ 2 ผลการดำเนินงาน'!$D$285</definedName>
    <definedName name="obj4.3">'ส่วนที่ 2 ผลการดำเนินงาน'!$D$302</definedName>
    <definedName name="obj4.4">'ส่วนที่ 2 ผลการดำเนินงาน'!$D$314</definedName>
    <definedName name="obj5.1">'ส่วนที่ 2 ผลการดำเนินงาน'!$D$327</definedName>
    <definedName name="obj5.2">'ส่วนที่ 2 ผลการดำเนินงาน'!$D$348</definedName>
    <definedName name="obj5.3">'ส่วนที่ 2 ผลการดำเนินงาน'!$D$359</definedName>
    <definedName name="obj5.4">'ส่วนที่ 2 ผลการดำเนินงาน'!$D$370</definedName>
    <definedName name="obj5.5">'ส่วนที่ 2 ผลการดำเนินงาน'!$D$379</definedName>
    <definedName name="obj6.1">'ส่วนที่ 2 ผลการดำเนินงาน'!$D$389</definedName>
    <definedName name="obj7.1">'ส่วนที่ 2 ผลการดำเนินงาน'!$D$410</definedName>
    <definedName name="obj7.2">'ส่วนที่ 2 ผลการดำเนินงาน'!$D$428</definedName>
    <definedName name="obj7.3">'ส่วนที่ 2 ผลการดำเนินงาน'!$D$443</definedName>
    <definedName name="obj7.4">'ส่วนที่ 2 ผลการดำเนินงาน'!$D$461</definedName>
    <definedName name="obj7.5">'ส่วนที่ 2 ผลการดำเนินงาน'!$D$480</definedName>
    <definedName name="obj7.6">'ส่วนที่ 2 ผลการดำเนินงาน'!$D$498</definedName>
    <definedName name="obj7.7">'ส่วนที่ 2 ผลการดำเนินงาน'!$D$514</definedName>
    <definedName name="obj7.8">'ส่วนที่ 2 ผลการดำเนินงาน'!$D$525</definedName>
    <definedName name="obj7.9">'ส่วนที่ 2 ผลการดำเนินงาน'!$D$542</definedName>
    <definedName name="obj8.1">'ส่วนที่ 2 ผลการดำเนินงาน'!$D$567</definedName>
    <definedName name="obj8.2">'ส่วนที่ 2 ผลการดำเนินงาน'!$D$588</definedName>
    <definedName name="obj9.1">'ส่วนที่ 2 ผลการดำเนินงาน'!$D$607</definedName>
    <definedName name="obj9.2">'ส่วนที่ 2 ผลการดำเนินงาน'!$D$630</definedName>
    <definedName name="obj9.3">'ส่วนที่ 2 ผลการดำเนินงาน'!$D$652</definedName>
    <definedName name="out12.1">#REF!</definedName>
    <definedName name="out16.2">#REF!</definedName>
    <definedName name="out17.1">#REF!</definedName>
    <definedName name="out17.2">#REF!</definedName>
    <definedName name="out17.3">#REF!</definedName>
    <definedName name="_xlnm.Print_Area" localSheetId="4">'3D'!$A$1:$F$40</definedName>
    <definedName name="_xlnm.Print_Area" localSheetId="7">'data set คณะ'!$A$1:$U$180</definedName>
    <definedName name="_xlnm.Print_Area" localSheetId="5">'ตัวบ่งชี้ ISO รวมทุกคณะ'!$A$1:$Q$100</definedName>
    <definedName name="_xlnm.Print_Area" localSheetId="1">'ส่วนที่ 2 ตารางส1'!$A$1:$F$75</definedName>
    <definedName name="_xlnm.Print_Area" localSheetId="2">'ส่วนที่ 2 ตารางส2'!$A$1:$F$61</definedName>
    <definedName name="_xlnm.Print_Area" localSheetId="3">'ส่วนที่ 2 ตารางส3'!$A$1:$F$61</definedName>
    <definedName name="_xlnm.Print_Area" localSheetId="0">'ส่วนที่ 2 ผลการดำเนินงาน'!$B$1:$F$665</definedName>
    <definedName name="_xlnm.Print_Titles" localSheetId="7">'data set คณะ'!$A:$A,'data set คณะ'!$4:$4</definedName>
    <definedName name="_xlnm.Print_Titles" localSheetId="9">คะแนน!$2:$3</definedName>
    <definedName name="_xlnm.Print_Titles" localSheetId="5">'ตัวบ่งชี้ ISO รวมทุกคณะ'!$3:$4</definedName>
    <definedName name="_xlnm.Print_Titles" localSheetId="6">แผนพัฒนา!$2:$3</definedName>
    <definedName name="_xlnm.Print_Titles" localSheetId="1">'ส่วนที่ 2 ตารางส1'!$3:$3</definedName>
    <definedName name="_xlnm.Print_Titles" localSheetId="2">'ส่วนที่ 2 ตารางส2'!$3:$3</definedName>
    <definedName name="_xlnm.Print_Titles" localSheetId="3">'ส่วนที่ 2 ตารางส3'!$3:$3</definedName>
    <definedName name="res1.1">'ส่วนที่ 2 ผลการดำเนินงาน'!$E$9</definedName>
    <definedName name="res1.2">'ส่วนที่ 2 ผลการดำเนินงาน'!$E$31</definedName>
    <definedName name="res2.1">'ส่วนที่ 2 ผลการดำเนินงาน'!$E$44</definedName>
    <definedName name="res2.10">'ส่วนที่ 2 ผลการดำเนินงาน'!$E$192</definedName>
    <definedName name="res2.11">'ส่วนที่ 2 ผลการดำเนินงาน'!$E$203</definedName>
    <definedName name="res2.12">'ส่วนที่ 2 ผลการดำเนินงาน'!$E$211</definedName>
    <definedName name="res2.2">'ส่วนที่ 2 ผลการดำเนินงาน'!$E$64</definedName>
    <definedName name="res2.3">'ส่วนที่ 2 ผลการดำเนินงาน'!$E$86</definedName>
    <definedName name="res2.4">'ส่วนที่ 2 ผลการดำเนินงาน'!$E$103</definedName>
    <definedName name="res2.5">'ส่วนที่ 2 ผลการดำเนินงาน'!$E$114</definedName>
    <definedName name="res2.6">'ส่วนที่ 2 ผลการดำเนินงาน'!$E$128</definedName>
    <definedName name="res2.7">'ส่วนที่ 2 ผลการดำเนินงาน'!$E$144</definedName>
    <definedName name="res2.8">'ส่วนที่ 2 ผลการดำเนินงาน'!$E$163</definedName>
    <definedName name="res2.9">'ส่วนที่ 2 ผลการดำเนินงาน'!$E$180</definedName>
    <definedName name="res3.1">'ส่วนที่ 2 ผลการดำเนินงาน'!$E$224</definedName>
    <definedName name="res3.2">'ส่วนที่ 2 ผลการดำเนินงาน'!$E$249</definedName>
    <definedName name="res4.1">'ส่วนที่ 2 ผลการดำเนินงาน'!$E$266</definedName>
    <definedName name="res4.2">'ส่วนที่ 2 ผลการดำเนินงาน'!$E$285</definedName>
    <definedName name="res4.3">'ส่วนที่ 2 ผลการดำเนินงาน'!$E$302</definedName>
    <definedName name="res4.4">'ส่วนที่ 2 ผลการดำเนินงาน'!$E$314</definedName>
    <definedName name="res5.1">'ส่วนที่ 2 ผลการดำเนินงาน'!$E$327</definedName>
    <definedName name="res5.2">'ส่วนที่ 2 ผลการดำเนินงาน'!$E$348</definedName>
    <definedName name="res5.3">'ส่วนที่ 2 ผลการดำเนินงาน'!$E$359</definedName>
    <definedName name="res5.4">'ส่วนที่ 2 ผลการดำเนินงาน'!$E$370</definedName>
    <definedName name="res5.5">'ส่วนที่ 2 ผลการดำเนินงาน'!$E$379</definedName>
    <definedName name="res6.1">'ส่วนที่ 2 ผลการดำเนินงาน'!$E$389</definedName>
    <definedName name="res7.1">'ส่วนที่ 2 ผลการดำเนินงาน'!$E$410</definedName>
    <definedName name="res7.2">'ส่วนที่ 2 ผลการดำเนินงาน'!$E$428</definedName>
    <definedName name="res7.3">'ส่วนที่ 2 ผลการดำเนินงาน'!$E$443</definedName>
    <definedName name="res7.4">'ส่วนที่ 2 ผลการดำเนินงาน'!$E$461</definedName>
    <definedName name="res7.5">'ส่วนที่ 2 ผลการดำเนินงาน'!$E$480</definedName>
    <definedName name="res7.6">'ส่วนที่ 2 ผลการดำเนินงาน'!$E$498</definedName>
    <definedName name="res7.7">'ส่วนที่ 2 ผลการดำเนินงาน'!$E$514</definedName>
    <definedName name="res7.8">'ส่วนที่ 2 ผลการดำเนินงาน'!$E$525</definedName>
    <definedName name="res7.9">'ส่วนที่ 2 ผลการดำเนินงาน'!$E$542</definedName>
    <definedName name="res8.1">'ส่วนที่ 2 ผลการดำเนินงาน'!$E$567</definedName>
    <definedName name="res8.2">'ส่วนที่ 2 ผลการดำเนินงาน'!$E$588</definedName>
    <definedName name="res9.1">'ส่วนที่ 2 ผลการดำเนินงาน'!$E$607</definedName>
    <definedName name="res9.2">'ส่วนที่ 2 ผลการดำเนินงาน'!$E$630</definedName>
    <definedName name="res9.3">'ส่วนที่ 2 ผลการดำเนินงาน'!$E$652</definedName>
    <definedName name="sco1.1">'ส่วนที่ 2 ผลการดำเนินงาน'!$F$9</definedName>
    <definedName name="sco1.2">'ส่วนที่ 2 ผลการดำเนินงาน'!$F$31</definedName>
    <definedName name="sco2.1">'ส่วนที่ 2 ผลการดำเนินงาน'!$F$44</definedName>
    <definedName name="sco2.10">'ส่วนที่ 2 ผลการดำเนินงาน'!$F$192</definedName>
    <definedName name="sco2.11">'ส่วนที่ 2 ผลการดำเนินงาน'!$F$203</definedName>
    <definedName name="sco2.12">'ส่วนที่ 2 ผลการดำเนินงาน'!$F$211</definedName>
    <definedName name="sco2.2">'ส่วนที่ 2 ผลการดำเนินงาน'!$F$64</definedName>
    <definedName name="sco2.3">'ส่วนที่ 2 ผลการดำเนินงาน'!$F$86</definedName>
    <definedName name="sco2.4">'ส่วนที่ 2 ผลการดำเนินงาน'!$F$103</definedName>
    <definedName name="sco2.5">'ส่วนที่ 2 ผลการดำเนินงาน'!$F$114</definedName>
    <definedName name="sco2.6">'ส่วนที่ 2 ผลการดำเนินงาน'!$F$128</definedName>
    <definedName name="sco2.7">'ส่วนที่ 2 ผลการดำเนินงาน'!$F$144</definedName>
    <definedName name="sco2.8">'ส่วนที่ 2 ผลการดำเนินงาน'!$F$163</definedName>
    <definedName name="sco2.9">'ส่วนที่ 2 ผลการดำเนินงาน'!$F$180</definedName>
    <definedName name="sco3.1">'ส่วนที่ 2 ผลการดำเนินงาน'!$F$224</definedName>
    <definedName name="sco3.2">'ส่วนที่ 2 ผลการดำเนินงาน'!$F$249</definedName>
    <definedName name="sco4.1">'ส่วนที่ 2 ผลการดำเนินงาน'!$F$266</definedName>
    <definedName name="sco4.2">'ส่วนที่ 2 ผลการดำเนินงาน'!$F$285</definedName>
    <definedName name="sco4.3">'ส่วนที่ 2 ผลการดำเนินงาน'!$F$302</definedName>
    <definedName name="sco4.4">'ส่วนที่ 2 ผลการดำเนินงาน'!$F$314</definedName>
    <definedName name="sco5.1">'ส่วนที่ 2 ผลการดำเนินงาน'!$F$327</definedName>
    <definedName name="sco5.2">'ส่วนที่ 2 ผลการดำเนินงาน'!$F$348</definedName>
    <definedName name="sco5.3">'ส่วนที่ 2 ผลการดำเนินงาน'!$F$359</definedName>
    <definedName name="sco5.4">'ส่วนที่ 2 ผลการดำเนินงาน'!$F$370</definedName>
    <definedName name="sco5.5">'ส่วนที่ 2 ผลการดำเนินงาน'!$F$379</definedName>
    <definedName name="sco6.1">'ส่วนที่ 2 ผลการดำเนินงาน'!$F$389</definedName>
    <definedName name="sco7.1">'ส่วนที่ 2 ผลการดำเนินงาน'!$F$410</definedName>
    <definedName name="sco7.2">'ส่วนที่ 2 ผลการดำเนินงาน'!$F$428</definedName>
    <definedName name="sco7.3">'ส่วนที่ 2 ผลการดำเนินงาน'!$F$443</definedName>
    <definedName name="sco7.4">'ส่วนที่ 2 ผลการดำเนินงาน'!$F$461</definedName>
    <definedName name="sco7.5">'ส่วนที่ 2 ผลการดำเนินงาน'!$F$480</definedName>
    <definedName name="sco7.6">'ส่วนที่ 2 ผลการดำเนินงาน'!$F$498</definedName>
    <definedName name="sco7.7">'ส่วนที่ 2 ผลการดำเนินงาน'!$F$514</definedName>
    <definedName name="sco7.8">'ส่วนที่ 2 ผลการดำเนินงาน'!$F$525</definedName>
    <definedName name="sco7.9">'ส่วนที่ 2 ผลการดำเนินงาน'!$F$542</definedName>
    <definedName name="sco8.1">'ส่วนที่ 2 ผลการดำเนินงาน'!$F$567</definedName>
    <definedName name="sco8.2">'ส่วนที่ 2 ผลการดำเนินงาน'!$F$588</definedName>
    <definedName name="sco9.1">'ส่วนที่ 2 ผลการดำเนินงาน'!$F$607</definedName>
    <definedName name="sco9.2">'ส่วนที่ 2 ผลการดำเนินงาน'!$F$630</definedName>
    <definedName name="sco9.3">'ส่วนที่ 2 ผลการดำเนินงาน'!$F$652</definedName>
    <definedName name="sta2.1" localSheetId="3">'ส่วนที่ 2 ตารางส3'!#REF!</definedName>
    <definedName name="sta2.1">'ส่วนที่ 2 ตารางส2'!$D$27</definedName>
    <definedName name="sta2.2" localSheetId="3">'ส่วนที่ 2 ตารางส3'!#REF!</definedName>
    <definedName name="sta2.2">'ส่วนที่ 2 ตารางส2'!$D$47</definedName>
    <definedName name="tar12.1">#REF!</definedName>
    <definedName name="tar16.2">#REF!</definedName>
    <definedName name="tar17.1">#REF!</definedName>
    <definedName name="tar17.2">#REF!</definedName>
    <definedName name="tar17.3">#REF!</definedName>
    <definedName name="val1.2">'ส่วนที่ 2 ผลการดำเนินงาน'!$C$38</definedName>
    <definedName name="val2.4">'ส่วนที่ 2 ผลการดำเนินงาน'!#REF!</definedName>
    <definedName name="val2.4.1">'ส่วนที่ 2 ผลการดำเนินงาน'!$C$110</definedName>
    <definedName name="val2.5.1">'ส่วนที่ 2 ผลการดำเนินงาน'!$C$122</definedName>
    <definedName name="val2.5.2">'ส่วนที่ 2 ผลการดำเนินงาน'!$C$123</definedName>
    <definedName name="val2.5.3">'ส่วนที่ 2 ผลการดำเนินงาน'!$C$124</definedName>
    <definedName name="val2.6.1">'ส่วนที่ 2 ผลการดำเนินงาน'!$C$137</definedName>
    <definedName name="val2.6.2">'ส่วนที่ 2 ผลการดำเนินงาน'!$C$138</definedName>
    <definedName name="val2.6.3">'ส่วนที่ 2 ผลการดำเนินงาน'!$C$139</definedName>
    <definedName name="val2.6.4">'ส่วนที่ 2 ผลการดำเนินงาน'!$C$140</definedName>
    <definedName name="val2.9">'ส่วนที่ 2 ผลการดำเนินงาน'!$C$188</definedName>
    <definedName name="ฟอำพ17.2">#REF!</definedName>
  </definedNames>
  <calcPr calcId="125725"/>
</workbook>
</file>

<file path=xl/calcChain.xml><?xml version="1.0" encoding="utf-8"?>
<calcChain xmlns="http://schemas.openxmlformats.org/spreadsheetml/2006/main">
  <c r="B116" i="2"/>
  <c r="B110"/>
  <c r="D150"/>
  <c r="C119"/>
  <c r="S119"/>
  <c r="T119"/>
  <c r="K119"/>
  <c r="L119"/>
  <c r="M119"/>
  <c r="N119"/>
  <c r="O119"/>
  <c r="Q119"/>
  <c r="R119"/>
  <c r="I119"/>
  <c r="G119"/>
  <c r="H119"/>
  <c r="Q120"/>
  <c r="R120"/>
  <c r="S120"/>
  <c r="T120"/>
  <c r="P120"/>
  <c r="N120"/>
  <c r="O120"/>
  <c r="M120"/>
  <c r="L120"/>
  <c r="K120"/>
  <c r="J120"/>
  <c r="I120"/>
  <c r="G120"/>
  <c r="H120"/>
  <c r="F119"/>
  <c r="D101"/>
  <c r="D104"/>
  <c r="B104"/>
  <c r="I73"/>
  <c r="B33"/>
  <c r="I31"/>
  <c r="E114" i="5" l="1"/>
  <c r="B493"/>
  <c r="B139" i="2" l="1"/>
  <c r="C138"/>
  <c r="P138"/>
  <c r="H30" i="20"/>
  <c r="H22"/>
  <c r="H32" s="1"/>
  <c r="H34" s="1"/>
  <c r="F28"/>
  <c r="F19"/>
  <c r="F16"/>
  <c r="F15"/>
  <c r="F13"/>
  <c r="F12"/>
  <c r="F11"/>
  <c r="F10"/>
  <c r="F7"/>
  <c r="F6"/>
  <c r="F4"/>
  <c r="B177" i="2"/>
  <c r="B176"/>
  <c r="B175"/>
  <c r="D47" i="4"/>
  <c r="H24" i="20" l="1"/>
  <c r="O75" i="16"/>
  <c r="O77" s="1"/>
  <c r="O72"/>
  <c r="O74" s="1"/>
  <c r="R75"/>
  <c r="R72"/>
  <c r="R77"/>
  <c r="R74"/>
  <c r="H48"/>
  <c r="C120" i="2"/>
  <c r="O99" i="16"/>
  <c r="O98"/>
  <c r="O96"/>
  <c r="O95"/>
  <c r="O93"/>
  <c r="O92"/>
  <c r="P91"/>
  <c r="P90"/>
  <c r="N89"/>
  <c r="M89"/>
  <c r="L89"/>
  <c r="K89"/>
  <c r="J89"/>
  <c r="I89"/>
  <c r="H89"/>
  <c r="G89"/>
  <c r="F89"/>
  <c r="E89"/>
  <c r="D89"/>
  <c r="C89"/>
  <c r="O88"/>
  <c r="P88" s="1"/>
  <c r="O87"/>
  <c r="O89" s="1"/>
  <c r="N86"/>
  <c r="M86"/>
  <c r="L86"/>
  <c r="K86"/>
  <c r="J86"/>
  <c r="I86"/>
  <c r="H86"/>
  <c r="G86"/>
  <c r="F86"/>
  <c r="E86"/>
  <c r="D86"/>
  <c r="C86"/>
  <c r="O85"/>
  <c r="P85" s="1"/>
  <c r="O84"/>
  <c r="O86" s="1"/>
  <c r="N83"/>
  <c r="M83"/>
  <c r="L83"/>
  <c r="K83"/>
  <c r="J83"/>
  <c r="I83"/>
  <c r="H83"/>
  <c r="G83"/>
  <c r="F83"/>
  <c r="E83"/>
  <c r="D83"/>
  <c r="C83"/>
  <c r="O82"/>
  <c r="P82" s="1"/>
  <c r="O81"/>
  <c r="O83" s="1"/>
  <c r="N80"/>
  <c r="M80"/>
  <c r="L80"/>
  <c r="K80"/>
  <c r="J80"/>
  <c r="I80"/>
  <c r="H80"/>
  <c r="G80"/>
  <c r="F80"/>
  <c r="E80"/>
  <c r="D80"/>
  <c r="C80"/>
  <c r="O79"/>
  <c r="P79" s="1"/>
  <c r="O78"/>
  <c r="O80" s="1"/>
  <c r="P76"/>
  <c r="P75"/>
  <c r="P77" s="1"/>
  <c r="P73"/>
  <c r="P72"/>
  <c r="P74" s="1"/>
  <c r="N71"/>
  <c r="M71"/>
  <c r="L71"/>
  <c r="K71"/>
  <c r="J71"/>
  <c r="I71"/>
  <c r="H71"/>
  <c r="G71"/>
  <c r="F71"/>
  <c r="E71"/>
  <c r="D71"/>
  <c r="C71"/>
  <c r="O70"/>
  <c r="P70" s="1"/>
  <c r="O69"/>
  <c r="O71" s="1"/>
  <c r="N68"/>
  <c r="M68"/>
  <c r="L68"/>
  <c r="K68"/>
  <c r="J68"/>
  <c r="I68"/>
  <c r="H68"/>
  <c r="G68"/>
  <c r="F68"/>
  <c r="E68"/>
  <c r="D68"/>
  <c r="C68"/>
  <c r="O67"/>
  <c r="P67" s="1"/>
  <c r="O66"/>
  <c r="O68" s="1"/>
  <c r="N63"/>
  <c r="M63"/>
  <c r="L63"/>
  <c r="K63"/>
  <c r="J63"/>
  <c r="I63"/>
  <c r="H63"/>
  <c r="G63"/>
  <c r="F63"/>
  <c r="E63"/>
  <c r="D63"/>
  <c r="C63"/>
  <c r="O62"/>
  <c r="P62" s="1"/>
  <c r="O61"/>
  <c r="O63" s="1"/>
  <c r="N60"/>
  <c r="M60"/>
  <c r="L60"/>
  <c r="K60"/>
  <c r="J60"/>
  <c r="I60"/>
  <c r="H60"/>
  <c r="G60"/>
  <c r="F60"/>
  <c r="E60"/>
  <c r="D60"/>
  <c r="C60"/>
  <c r="O59"/>
  <c r="P59" s="1"/>
  <c r="O58"/>
  <c r="O60" s="1"/>
  <c r="G57"/>
  <c r="O56"/>
  <c r="P56" s="1"/>
  <c r="O55"/>
  <c r="O57" s="1"/>
  <c r="I54"/>
  <c r="H54"/>
  <c r="G54"/>
  <c r="O53"/>
  <c r="P53" s="1"/>
  <c r="O52"/>
  <c r="O54" s="1"/>
  <c r="G51"/>
  <c r="O50"/>
  <c r="P50" s="1"/>
  <c r="O49"/>
  <c r="O51" s="1"/>
  <c r="I48"/>
  <c r="G48"/>
  <c r="O47"/>
  <c r="P47" s="1"/>
  <c r="O46"/>
  <c r="O48" s="1"/>
  <c r="N45"/>
  <c r="M45"/>
  <c r="L45"/>
  <c r="K45"/>
  <c r="J45"/>
  <c r="I45"/>
  <c r="H45"/>
  <c r="G45"/>
  <c r="F45"/>
  <c r="E45"/>
  <c r="D45"/>
  <c r="C45"/>
  <c r="O44"/>
  <c r="P44" s="1"/>
  <c r="O43"/>
  <c r="O45" s="1"/>
  <c r="N42"/>
  <c r="M42"/>
  <c r="L42"/>
  <c r="K42"/>
  <c r="J42"/>
  <c r="I42"/>
  <c r="H42"/>
  <c r="G42"/>
  <c r="F42"/>
  <c r="E42"/>
  <c r="D42"/>
  <c r="C42"/>
  <c r="O41"/>
  <c r="P41" s="1"/>
  <c r="O40"/>
  <c r="O42" s="1"/>
  <c r="O37"/>
  <c r="P37" s="1"/>
  <c r="O36"/>
  <c r="P36" s="1"/>
  <c r="N35"/>
  <c r="M35"/>
  <c r="L35"/>
  <c r="K35"/>
  <c r="J35"/>
  <c r="I35"/>
  <c r="H35"/>
  <c r="G35"/>
  <c r="F35"/>
  <c r="E35"/>
  <c r="D35"/>
  <c r="C35"/>
  <c r="O34"/>
  <c r="P34" s="1"/>
  <c r="O33"/>
  <c r="O35" s="1"/>
  <c r="N32"/>
  <c r="M32"/>
  <c r="L32"/>
  <c r="K32"/>
  <c r="J32"/>
  <c r="I32"/>
  <c r="H32"/>
  <c r="G32"/>
  <c r="F32"/>
  <c r="E32"/>
  <c r="D32"/>
  <c r="C32"/>
  <c r="O31"/>
  <c r="P31" s="1"/>
  <c r="O30"/>
  <c r="O32" s="1"/>
  <c r="O29"/>
  <c r="P29" s="1"/>
  <c r="O28"/>
  <c r="P28" s="1"/>
  <c r="N27"/>
  <c r="M27"/>
  <c r="K27"/>
  <c r="J27"/>
  <c r="I27"/>
  <c r="H27"/>
  <c r="G27"/>
  <c r="F27"/>
  <c r="E27"/>
  <c r="D27"/>
  <c r="C27"/>
  <c r="O26"/>
  <c r="P26" s="1"/>
  <c r="O25"/>
  <c r="O27" s="1"/>
  <c r="N24"/>
  <c r="M24"/>
  <c r="K24"/>
  <c r="J24"/>
  <c r="I24"/>
  <c r="H24"/>
  <c r="G24"/>
  <c r="F24"/>
  <c r="E24"/>
  <c r="D24"/>
  <c r="C24"/>
  <c r="O23"/>
  <c r="P23" s="1"/>
  <c r="O22"/>
  <c r="O24" s="1"/>
  <c r="R21"/>
  <c r="O21"/>
  <c r="P21" s="1"/>
  <c r="R20"/>
  <c r="P20"/>
  <c r="N19"/>
  <c r="M19"/>
  <c r="L19"/>
  <c r="K19"/>
  <c r="J19"/>
  <c r="I19"/>
  <c r="H19"/>
  <c r="G19"/>
  <c r="F19"/>
  <c r="E19"/>
  <c r="D19"/>
  <c r="C19"/>
  <c r="O18"/>
  <c r="P18" s="1"/>
  <c r="O17"/>
  <c r="O19" s="1"/>
  <c r="N16"/>
  <c r="M16"/>
  <c r="L16"/>
  <c r="K16"/>
  <c r="J16"/>
  <c r="I16"/>
  <c r="H16"/>
  <c r="G16"/>
  <c r="F16"/>
  <c r="E16"/>
  <c r="D16"/>
  <c r="C16"/>
  <c r="O15"/>
  <c r="O16" s="1"/>
  <c r="P14"/>
  <c r="N13"/>
  <c r="M13"/>
  <c r="L13"/>
  <c r="K13"/>
  <c r="J13"/>
  <c r="I13"/>
  <c r="H13"/>
  <c r="G13"/>
  <c r="F13"/>
  <c r="E13"/>
  <c r="D13"/>
  <c r="C13"/>
  <c r="O12"/>
  <c r="O13" s="1"/>
  <c r="P11"/>
  <c r="N10"/>
  <c r="M10"/>
  <c r="L10"/>
  <c r="K10"/>
  <c r="J10"/>
  <c r="I10"/>
  <c r="H10"/>
  <c r="G10"/>
  <c r="F10"/>
  <c r="E10"/>
  <c r="D10"/>
  <c r="C10"/>
  <c r="O9"/>
  <c r="O10" s="1"/>
  <c r="P8"/>
  <c r="O7"/>
  <c r="O6"/>
  <c r="P5"/>
  <c r="N5"/>
  <c r="M5"/>
  <c r="K5"/>
  <c r="H5"/>
  <c r="G5"/>
  <c r="F5"/>
  <c r="E5"/>
  <c r="D5"/>
  <c r="C5"/>
  <c r="P9" l="1"/>
  <c r="P10" s="1"/>
  <c r="P12"/>
  <c r="P13" s="1"/>
  <c r="P15"/>
  <c r="P16" s="1"/>
  <c r="P17"/>
  <c r="P19" s="1"/>
  <c r="P22"/>
  <c r="P24" s="1"/>
  <c r="P25"/>
  <c r="P27" s="1"/>
  <c r="P30"/>
  <c r="P32" s="1"/>
  <c r="P33"/>
  <c r="P35" s="1"/>
  <c r="P40"/>
  <c r="P42" s="1"/>
  <c r="P43"/>
  <c r="P45" s="1"/>
  <c r="P46"/>
  <c r="P48" s="1"/>
  <c r="P49"/>
  <c r="P51" s="1"/>
  <c r="P52"/>
  <c r="P54" s="1"/>
  <c r="P55"/>
  <c r="P57" s="1"/>
  <c r="P58"/>
  <c r="P60" s="1"/>
  <c r="P61"/>
  <c r="P63" s="1"/>
  <c r="P66"/>
  <c r="P68" s="1"/>
  <c r="P69"/>
  <c r="P71" s="1"/>
  <c r="P78"/>
  <c r="P80" s="1"/>
  <c r="P81"/>
  <c r="P83" s="1"/>
  <c r="P84"/>
  <c r="P86" s="1"/>
  <c r="P87"/>
  <c r="P89" s="1"/>
  <c r="N44" i="23" l="1"/>
  <c r="C135" i="2"/>
  <c r="K69"/>
  <c r="E33"/>
  <c r="S32"/>
  <c r="Q32"/>
  <c r="N32"/>
  <c r="T138"/>
  <c r="J93"/>
  <c r="J87"/>
  <c r="B84"/>
  <c r="G27" i="20"/>
  <c r="H44" i="23"/>
  <c r="J44"/>
  <c r="M44"/>
  <c r="L44"/>
  <c r="K44"/>
  <c r="I44"/>
  <c r="G44"/>
  <c r="F44"/>
  <c r="E44"/>
  <c r="D44"/>
  <c r="C44"/>
  <c r="B44"/>
  <c r="S83" i="2" l="1"/>
  <c r="Q83"/>
  <c r="N83"/>
  <c r="E83"/>
  <c r="D83"/>
  <c r="B83"/>
  <c r="S82"/>
  <c r="Q82"/>
  <c r="N82"/>
  <c r="E82"/>
  <c r="D82"/>
  <c r="B82"/>
  <c r="S81"/>
  <c r="Q81"/>
  <c r="N81"/>
  <c r="E81"/>
  <c r="D81"/>
  <c r="B81"/>
  <c r="S79"/>
  <c r="Q79"/>
  <c r="N79"/>
  <c r="E79"/>
  <c r="D79"/>
  <c r="B79"/>
  <c r="S78"/>
  <c r="Q78"/>
  <c r="N78"/>
  <c r="E78"/>
  <c r="D78"/>
  <c r="B78"/>
  <c r="S77"/>
  <c r="Q77"/>
  <c r="N77"/>
  <c r="E77"/>
  <c r="D77"/>
  <c r="B77"/>
  <c r="S76"/>
  <c r="Q76"/>
  <c r="N76"/>
  <c r="E76"/>
  <c r="D76"/>
  <c r="B76"/>
  <c r="S48"/>
  <c r="Q48"/>
  <c r="N48"/>
  <c r="E48"/>
  <c r="D48"/>
  <c r="B48"/>
  <c r="S47"/>
  <c r="Q47"/>
  <c r="N47"/>
  <c r="E47"/>
  <c r="D47"/>
  <c r="B47"/>
  <c r="S46"/>
  <c r="Q46"/>
  <c r="N46"/>
  <c r="E46"/>
  <c r="D46"/>
  <c r="B46"/>
  <c r="S43"/>
  <c r="Q43"/>
  <c r="N43"/>
  <c r="E43"/>
  <c r="D43"/>
  <c r="B43"/>
  <c r="T42"/>
  <c r="S42"/>
  <c r="R42"/>
  <c r="Q42"/>
  <c r="P42"/>
  <c r="O42"/>
  <c r="N42"/>
  <c r="M42"/>
  <c r="L42"/>
  <c r="K42"/>
  <c r="J42"/>
  <c r="I42"/>
  <c r="H42"/>
  <c r="G42"/>
  <c r="F42"/>
  <c r="E42"/>
  <c r="D42"/>
  <c r="B42"/>
  <c r="S41"/>
  <c r="Q41"/>
  <c r="N41"/>
  <c r="E41"/>
  <c r="D41"/>
  <c r="B41"/>
  <c r="S40"/>
  <c r="Q40"/>
  <c r="N40"/>
  <c r="E40"/>
  <c r="D40"/>
  <c r="B40"/>
  <c r="S39"/>
  <c r="Q39"/>
  <c r="N39"/>
  <c r="E39"/>
  <c r="D39"/>
  <c r="B39"/>
  <c r="S38"/>
  <c r="Q38"/>
  <c r="N38"/>
  <c r="E38"/>
  <c r="D38"/>
  <c r="B38"/>
  <c r="T37"/>
  <c r="S37"/>
  <c r="R37"/>
  <c r="Q37"/>
  <c r="P37"/>
  <c r="O37"/>
  <c r="N37"/>
  <c r="M37"/>
  <c r="K37"/>
  <c r="J37"/>
  <c r="I37"/>
  <c r="H37"/>
  <c r="G37"/>
  <c r="F37"/>
  <c r="E37"/>
  <c r="D37"/>
  <c r="B37"/>
  <c r="S36"/>
  <c r="Q36"/>
  <c r="N36"/>
  <c r="E36"/>
  <c r="D36"/>
  <c r="B36"/>
  <c r="B28" l="1"/>
  <c r="B29"/>
  <c r="B30"/>
  <c r="B27"/>
  <c r="E18"/>
  <c r="D18" s="1"/>
  <c r="B18" s="1"/>
  <c r="E11"/>
  <c r="L9"/>
  <c r="D11"/>
  <c r="B11" s="1"/>
  <c r="B26" i="5"/>
  <c r="B24"/>
  <c r="B21"/>
  <c r="B19"/>
  <c r="B17"/>
  <c r="B12"/>
  <c r="B14"/>
  <c r="B598"/>
  <c r="B156"/>
  <c r="E155" i="2"/>
  <c r="D155" s="1"/>
  <c r="N155"/>
  <c r="S155"/>
  <c r="G29" i="20"/>
  <c r="G28"/>
  <c r="G20"/>
  <c r="G19"/>
  <c r="G18"/>
  <c r="G17"/>
  <c r="G16"/>
  <c r="G15"/>
  <c r="G14"/>
  <c r="G13"/>
  <c r="G12"/>
  <c r="G11"/>
  <c r="G10"/>
  <c r="G9"/>
  <c r="G8"/>
  <c r="G7"/>
  <c r="G6"/>
  <c r="G5"/>
  <c r="G4"/>
  <c r="C374" i="5"/>
  <c r="E370"/>
  <c r="B343"/>
  <c r="B640"/>
  <c r="B637"/>
  <c r="B635"/>
  <c r="B633"/>
  <c r="E139" i="2"/>
  <c r="N139"/>
  <c r="E140"/>
  <c r="N140"/>
  <c r="C132"/>
  <c r="B290" i="5"/>
  <c r="B288"/>
  <c r="B293"/>
  <c r="B295"/>
  <c r="P132" i="2"/>
  <c r="O132"/>
  <c r="K132"/>
  <c r="N112"/>
  <c r="N113"/>
  <c r="N114"/>
  <c r="N115"/>
  <c r="N116"/>
  <c r="N111"/>
  <c r="O111"/>
  <c r="P101"/>
  <c r="O101"/>
  <c r="N106"/>
  <c r="N107"/>
  <c r="N108"/>
  <c r="N110"/>
  <c r="O105"/>
  <c r="B560" i="5"/>
  <c r="B558"/>
  <c r="B556"/>
  <c r="B554"/>
  <c r="B552"/>
  <c r="B549"/>
  <c r="B547"/>
  <c r="B545"/>
  <c r="B453"/>
  <c r="B450"/>
  <c r="B449"/>
  <c r="B446"/>
  <c r="B50"/>
  <c r="B55"/>
  <c r="E9"/>
  <c r="C108"/>
  <c r="C110"/>
  <c r="E166" i="2"/>
  <c r="N166"/>
  <c r="D166" s="1"/>
  <c r="B166" s="1"/>
  <c r="S166"/>
  <c r="Q166"/>
  <c r="E164"/>
  <c r="P164"/>
  <c r="N164"/>
  <c r="S164"/>
  <c r="Q164"/>
  <c r="D164"/>
  <c r="B164"/>
  <c r="E161"/>
  <c r="N161"/>
  <c r="S161"/>
  <c r="Q161"/>
  <c r="D161"/>
  <c r="B161"/>
  <c r="E162"/>
  <c r="N162"/>
  <c r="S162"/>
  <c r="Q162"/>
  <c r="D162"/>
  <c r="B162"/>
  <c r="E163"/>
  <c r="N163"/>
  <c r="S163"/>
  <c r="Q163"/>
  <c r="D163"/>
  <c r="B163"/>
  <c r="E160"/>
  <c r="P160"/>
  <c r="N160"/>
  <c r="S160"/>
  <c r="Q160"/>
  <c r="D160"/>
  <c r="B160"/>
  <c r="E158"/>
  <c r="N158"/>
  <c r="S158"/>
  <c r="Q158"/>
  <c r="D158"/>
  <c r="B158"/>
  <c r="E157"/>
  <c r="N157"/>
  <c r="S157"/>
  <c r="Q157"/>
  <c r="D157"/>
  <c r="B157"/>
  <c r="E154"/>
  <c r="N154"/>
  <c r="S154"/>
  <c r="Q154"/>
  <c r="D154"/>
  <c r="B154"/>
  <c r="E153"/>
  <c r="N153"/>
  <c r="S153"/>
  <c r="Q153"/>
  <c r="D153"/>
  <c r="B153"/>
  <c r="C364" i="5"/>
  <c r="E152" i="2"/>
  <c r="N152"/>
  <c r="S152"/>
  <c r="Q152"/>
  <c r="D152"/>
  <c r="B152"/>
  <c r="E149"/>
  <c r="N149"/>
  <c r="S149"/>
  <c r="Q149"/>
  <c r="D149"/>
  <c r="B149"/>
  <c r="B150"/>
  <c r="L148"/>
  <c r="E148"/>
  <c r="N148"/>
  <c r="S148"/>
  <c r="Q148"/>
  <c r="D148"/>
  <c r="B148"/>
  <c r="E146"/>
  <c r="N146"/>
  <c r="S146"/>
  <c r="Q146"/>
  <c r="D146"/>
  <c r="B146"/>
  <c r="E147"/>
  <c r="N147"/>
  <c r="S147"/>
  <c r="Q147"/>
  <c r="D147"/>
  <c r="B147"/>
  <c r="L145"/>
  <c r="E145"/>
  <c r="N145"/>
  <c r="S145"/>
  <c r="Q145"/>
  <c r="D145"/>
  <c r="B145"/>
  <c r="S139"/>
  <c r="Q139"/>
  <c r="D139"/>
  <c r="S140"/>
  <c r="Q140"/>
  <c r="D140"/>
  <c r="B140"/>
  <c r="B141"/>
  <c r="B142"/>
  <c r="E143"/>
  <c r="N143"/>
  <c r="S143"/>
  <c r="Q143"/>
  <c r="D143"/>
  <c r="B143"/>
  <c r="F138"/>
  <c r="G138"/>
  <c r="H138"/>
  <c r="I138"/>
  <c r="K138"/>
  <c r="E138"/>
  <c r="O138"/>
  <c r="N138"/>
  <c r="S138"/>
  <c r="R138"/>
  <c r="Q138"/>
  <c r="D138"/>
  <c r="B138"/>
  <c r="E136"/>
  <c r="N136"/>
  <c r="S136"/>
  <c r="Q136"/>
  <c r="D136"/>
  <c r="B136"/>
  <c r="E137"/>
  <c r="N137"/>
  <c r="S137"/>
  <c r="Q137"/>
  <c r="D137"/>
  <c r="B137"/>
  <c r="F135"/>
  <c r="G135"/>
  <c r="H135"/>
  <c r="I135"/>
  <c r="J135"/>
  <c r="K135"/>
  <c r="L135"/>
  <c r="M135"/>
  <c r="E135"/>
  <c r="O135"/>
  <c r="P135"/>
  <c r="N135"/>
  <c r="T135"/>
  <c r="S135"/>
  <c r="R135"/>
  <c r="Q135"/>
  <c r="D135"/>
  <c r="B135"/>
  <c r="E133"/>
  <c r="N133"/>
  <c r="S133"/>
  <c r="Q133"/>
  <c r="D133"/>
  <c r="E134"/>
  <c r="N134"/>
  <c r="N132"/>
  <c r="S134"/>
  <c r="Q134"/>
  <c r="D134"/>
  <c r="B134"/>
  <c r="F132"/>
  <c r="G132"/>
  <c r="H132"/>
  <c r="I132"/>
  <c r="J132"/>
  <c r="L132"/>
  <c r="M132"/>
  <c r="E132"/>
  <c r="T132"/>
  <c r="S132"/>
  <c r="R132"/>
  <c r="Q132"/>
  <c r="E126"/>
  <c r="N126"/>
  <c r="S126"/>
  <c r="Q126"/>
  <c r="D126"/>
  <c r="B126"/>
  <c r="E127"/>
  <c r="N127"/>
  <c r="S127"/>
  <c r="Q127"/>
  <c r="D127"/>
  <c r="B127"/>
  <c r="E128"/>
  <c r="N128"/>
  <c r="S128"/>
  <c r="Q128"/>
  <c r="D128"/>
  <c r="B128"/>
  <c r="E129"/>
  <c r="N129"/>
  <c r="S129"/>
  <c r="Q129"/>
  <c r="D129"/>
  <c r="B129"/>
  <c r="E130"/>
  <c r="N130"/>
  <c r="S130"/>
  <c r="Q130"/>
  <c r="D130"/>
  <c r="B130"/>
  <c r="E123"/>
  <c r="N123"/>
  <c r="S123"/>
  <c r="Q123"/>
  <c r="D123"/>
  <c r="B123"/>
  <c r="E124"/>
  <c r="N124"/>
  <c r="S124"/>
  <c r="Q124"/>
  <c r="D124"/>
  <c r="B124"/>
  <c r="E125"/>
  <c r="N125"/>
  <c r="S125"/>
  <c r="Q125"/>
  <c r="D125"/>
  <c r="B125"/>
  <c r="F120"/>
  <c r="E120"/>
  <c r="E121"/>
  <c r="N121"/>
  <c r="S121"/>
  <c r="Q121"/>
  <c r="D121"/>
  <c r="B121"/>
  <c r="E122"/>
  <c r="N122"/>
  <c r="S122"/>
  <c r="Q122"/>
  <c r="D122"/>
  <c r="B122"/>
  <c r="E119"/>
  <c r="E86"/>
  <c r="D86"/>
  <c r="B86"/>
  <c r="E74"/>
  <c r="N74"/>
  <c r="S74"/>
  <c r="Q74"/>
  <c r="D74"/>
  <c r="B74"/>
  <c r="E75"/>
  <c r="N75"/>
  <c r="S75"/>
  <c r="Q75"/>
  <c r="D75"/>
  <c r="B75"/>
  <c r="E73"/>
  <c r="O73"/>
  <c r="N73"/>
  <c r="S73"/>
  <c r="Q73"/>
  <c r="D73"/>
  <c r="B73"/>
  <c r="E72"/>
  <c r="N72"/>
  <c r="S72"/>
  <c r="Q72"/>
  <c r="D72"/>
  <c r="B72"/>
  <c r="E70"/>
  <c r="N70"/>
  <c r="S70"/>
  <c r="Q70"/>
  <c r="D70"/>
  <c r="B70"/>
  <c r="E71"/>
  <c r="N71"/>
  <c r="S71"/>
  <c r="Q71"/>
  <c r="D71"/>
  <c r="B71"/>
  <c r="F69"/>
  <c r="G69"/>
  <c r="H69"/>
  <c r="I69"/>
  <c r="J69"/>
  <c r="L69"/>
  <c r="M69"/>
  <c r="E69"/>
  <c r="O69"/>
  <c r="P69"/>
  <c r="N69"/>
  <c r="T69"/>
  <c r="S69"/>
  <c r="R69"/>
  <c r="Q69"/>
  <c r="D69"/>
  <c r="B69"/>
  <c r="E67"/>
  <c r="N67"/>
  <c r="S67"/>
  <c r="Q67"/>
  <c r="D67"/>
  <c r="B67"/>
  <c r="E68"/>
  <c r="N68"/>
  <c r="S68"/>
  <c r="Q68"/>
  <c r="D68"/>
  <c r="B68"/>
  <c r="F66"/>
  <c r="G66"/>
  <c r="H66"/>
  <c r="I66"/>
  <c r="J66"/>
  <c r="K66"/>
  <c r="L66"/>
  <c r="M66"/>
  <c r="E66"/>
  <c r="O66"/>
  <c r="P66"/>
  <c r="N66"/>
  <c r="T66"/>
  <c r="S66"/>
  <c r="R66"/>
  <c r="Q66"/>
  <c r="D66"/>
  <c r="B66"/>
  <c r="E64"/>
  <c r="N64"/>
  <c r="S64"/>
  <c r="Q64"/>
  <c r="D64"/>
  <c r="E65"/>
  <c r="N65"/>
  <c r="S65"/>
  <c r="Q65"/>
  <c r="D65"/>
  <c r="B64"/>
  <c r="B65"/>
  <c r="E63"/>
  <c r="N63"/>
  <c r="S63"/>
  <c r="Q63"/>
  <c r="D63"/>
  <c r="B63"/>
  <c r="E58"/>
  <c r="N58"/>
  <c r="S58"/>
  <c r="Q58"/>
  <c r="D58"/>
  <c r="B58"/>
  <c r="E59"/>
  <c r="N59"/>
  <c r="S59"/>
  <c r="Q59"/>
  <c r="D59"/>
  <c r="B59"/>
  <c r="E60"/>
  <c r="N60"/>
  <c r="S60"/>
  <c r="Q60"/>
  <c r="D60"/>
  <c r="B60"/>
  <c r="E55"/>
  <c r="N55"/>
  <c r="S55"/>
  <c r="Q55"/>
  <c r="D55"/>
  <c r="B55"/>
  <c r="E56"/>
  <c r="N56"/>
  <c r="S56"/>
  <c r="Q56"/>
  <c r="D56"/>
  <c r="B56"/>
  <c r="E57"/>
  <c r="N57"/>
  <c r="S57"/>
  <c r="Q57"/>
  <c r="D57"/>
  <c r="B57"/>
  <c r="E52"/>
  <c r="N52"/>
  <c r="S52"/>
  <c r="Q52"/>
  <c r="D52"/>
  <c r="B52"/>
  <c r="E53"/>
  <c r="N53"/>
  <c r="S53"/>
  <c r="Q53"/>
  <c r="D53"/>
  <c r="B53"/>
  <c r="E54"/>
  <c r="N54"/>
  <c r="S54"/>
  <c r="Q54"/>
  <c r="D54"/>
  <c r="B54"/>
  <c r="E51"/>
  <c r="N51"/>
  <c r="S51"/>
  <c r="Q51"/>
  <c r="D51"/>
  <c r="B51"/>
  <c r="C123" i="5" s="1"/>
  <c r="E32" i="2"/>
  <c r="D32"/>
  <c r="B32"/>
  <c r="E34"/>
  <c r="N34"/>
  <c r="S34"/>
  <c r="Q34"/>
  <c r="D34"/>
  <c r="B34"/>
  <c r="E35"/>
  <c r="N35"/>
  <c r="S35"/>
  <c r="Q35"/>
  <c r="D35"/>
  <c r="B35"/>
  <c r="F31"/>
  <c r="G31"/>
  <c r="H31"/>
  <c r="J31"/>
  <c r="K31"/>
  <c r="L31"/>
  <c r="M31"/>
  <c r="E31"/>
  <c r="P31"/>
  <c r="N31"/>
  <c r="T31"/>
  <c r="S31"/>
  <c r="R31"/>
  <c r="Q31"/>
  <c r="D31"/>
  <c r="B31"/>
  <c r="S102"/>
  <c r="N99"/>
  <c r="T93"/>
  <c r="R93"/>
  <c r="P93"/>
  <c r="O93"/>
  <c r="G93"/>
  <c r="H93"/>
  <c r="I93"/>
  <c r="K93"/>
  <c r="L93"/>
  <c r="M93"/>
  <c r="F93"/>
  <c r="R87"/>
  <c r="P87"/>
  <c r="O87"/>
  <c r="K87"/>
  <c r="L87"/>
  <c r="M87"/>
  <c r="G87"/>
  <c r="H87"/>
  <c r="I87"/>
  <c r="F87"/>
  <c r="E84"/>
  <c r="N84"/>
  <c r="S84"/>
  <c r="Q84"/>
  <c r="E7"/>
  <c r="N7"/>
  <c r="Q7"/>
  <c r="S7"/>
  <c r="D7"/>
  <c r="E6"/>
  <c r="N6"/>
  <c r="Q6"/>
  <c r="S6"/>
  <c r="D6"/>
  <c r="T27"/>
  <c r="P27"/>
  <c r="O27"/>
  <c r="G27"/>
  <c r="H27"/>
  <c r="I27"/>
  <c r="J27"/>
  <c r="K27"/>
  <c r="F27"/>
  <c r="O16"/>
  <c r="F16"/>
  <c r="M9"/>
  <c r="K9"/>
  <c r="J9"/>
  <c r="O9"/>
  <c r="B244" i="5"/>
  <c r="B242"/>
  <c r="B240"/>
  <c r="B237"/>
  <c r="B235"/>
  <c r="B233"/>
  <c r="B229"/>
  <c r="B227"/>
  <c r="Q155" i="2"/>
  <c r="B509" i="5"/>
  <c r="B507"/>
  <c r="B505"/>
  <c r="B503"/>
  <c r="B501"/>
  <c r="B259"/>
  <c r="B257"/>
  <c r="B254"/>
  <c r="B252"/>
  <c r="C199"/>
  <c r="R9" i="2"/>
  <c r="R16"/>
  <c r="R101"/>
  <c r="R105"/>
  <c r="R111"/>
  <c r="E104"/>
  <c r="N104"/>
  <c r="S104"/>
  <c r="Q104"/>
  <c r="E141"/>
  <c r="N141"/>
  <c r="S141"/>
  <c r="Q141"/>
  <c r="E142"/>
  <c r="N142"/>
  <c r="S142"/>
  <c r="Q142"/>
  <c r="E116"/>
  <c r="S116"/>
  <c r="Q116"/>
  <c r="E115"/>
  <c r="S115"/>
  <c r="Q115"/>
  <c r="E114"/>
  <c r="S114"/>
  <c r="Q114"/>
  <c r="D114"/>
  <c r="B114"/>
  <c r="E113"/>
  <c r="S113"/>
  <c r="Q113"/>
  <c r="D113"/>
  <c r="B113"/>
  <c r="E112"/>
  <c r="S112"/>
  <c r="Q112"/>
  <c r="D112"/>
  <c r="B112"/>
  <c r="F111"/>
  <c r="G111"/>
  <c r="H111"/>
  <c r="I111"/>
  <c r="J111"/>
  <c r="K111"/>
  <c r="L111"/>
  <c r="M111"/>
  <c r="E111"/>
  <c r="P111"/>
  <c r="T111"/>
  <c r="S111"/>
  <c r="Q111"/>
  <c r="D111"/>
  <c r="B111"/>
  <c r="E110"/>
  <c r="S110"/>
  <c r="Q110"/>
  <c r="D110"/>
  <c r="E109"/>
  <c r="N109"/>
  <c r="N105"/>
  <c r="S109"/>
  <c r="Q109"/>
  <c r="D109"/>
  <c r="B109"/>
  <c r="E108"/>
  <c r="S108"/>
  <c r="Q108"/>
  <c r="D108"/>
  <c r="B108"/>
  <c r="E107"/>
  <c r="S107"/>
  <c r="Q107"/>
  <c r="D107"/>
  <c r="B107"/>
  <c r="E106"/>
  <c r="S106"/>
  <c r="Q106"/>
  <c r="D106"/>
  <c r="B106"/>
  <c r="F105"/>
  <c r="G105"/>
  <c r="H105"/>
  <c r="I105"/>
  <c r="J105"/>
  <c r="K105"/>
  <c r="L105"/>
  <c r="M105"/>
  <c r="E105"/>
  <c r="P105"/>
  <c r="T105"/>
  <c r="S105"/>
  <c r="Q105"/>
  <c r="E103"/>
  <c r="N103"/>
  <c r="S103"/>
  <c r="Q103"/>
  <c r="D103"/>
  <c r="B103"/>
  <c r="E102"/>
  <c r="N102"/>
  <c r="N101"/>
  <c r="Q102"/>
  <c r="D102"/>
  <c r="B101"/>
  <c r="B102"/>
  <c r="F101"/>
  <c r="G101"/>
  <c r="H101"/>
  <c r="I101"/>
  <c r="J101"/>
  <c r="K101"/>
  <c r="L101"/>
  <c r="M101"/>
  <c r="E101"/>
  <c r="T101"/>
  <c r="S101"/>
  <c r="Q101"/>
  <c r="E98"/>
  <c r="N98"/>
  <c r="S98"/>
  <c r="Q98"/>
  <c r="D98"/>
  <c r="B98"/>
  <c r="E97"/>
  <c r="N97"/>
  <c r="S97"/>
  <c r="Q97"/>
  <c r="D97"/>
  <c r="B97"/>
  <c r="E96"/>
  <c r="N96"/>
  <c r="S96"/>
  <c r="Q96"/>
  <c r="D96"/>
  <c r="B96"/>
  <c r="E95"/>
  <c r="N95"/>
  <c r="S95"/>
  <c r="Q95"/>
  <c r="D95"/>
  <c r="B95"/>
  <c r="E94"/>
  <c r="N94"/>
  <c r="S94"/>
  <c r="Q94"/>
  <c r="D94"/>
  <c r="B94"/>
  <c r="E93"/>
  <c r="N93"/>
  <c r="S93"/>
  <c r="Q93"/>
  <c r="D93"/>
  <c r="B93"/>
  <c r="E92"/>
  <c r="N92"/>
  <c r="S92"/>
  <c r="Q92"/>
  <c r="D92"/>
  <c r="B92"/>
  <c r="E91"/>
  <c r="N91"/>
  <c r="S91"/>
  <c r="Q91"/>
  <c r="D91"/>
  <c r="B91"/>
  <c r="E90"/>
  <c r="N90"/>
  <c r="S90"/>
  <c r="Q90"/>
  <c r="D90"/>
  <c r="B90"/>
  <c r="E89"/>
  <c r="N89"/>
  <c r="S89"/>
  <c r="Q89"/>
  <c r="D89"/>
  <c r="B89"/>
  <c r="E88"/>
  <c r="N88"/>
  <c r="S88"/>
  <c r="Q88"/>
  <c r="D88"/>
  <c r="B88"/>
  <c r="E87"/>
  <c r="N87"/>
  <c r="T87"/>
  <c r="S87"/>
  <c r="Q87"/>
  <c r="D87"/>
  <c r="B87"/>
  <c r="C216" i="5" s="1"/>
  <c r="N86" i="2"/>
  <c r="S86"/>
  <c r="Q86"/>
  <c r="E85"/>
  <c r="N85"/>
  <c r="S85"/>
  <c r="Q85"/>
  <c r="D85"/>
  <c r="B85"/>
  <c r="E30"/>
  <c r="E29"/>
  <c r="E28"/>
  <c r="N28"/>
  <c r="S28"/>
  <c r="Q28"/>
  <c r="E27"/>
  <c r="N27"/>
  <c r="S27"/>
  <c r="Q27"/>
  <c r="E26"/>
  <c r="N26"/>
  <c r="S26"/>
  <c r="Q26"/>
  <c r="D26"/>
  <c r="B26"/>
  <c r="E25"/>
  <c r="N25"/>
  <c r="S25"/>
  <c r="Q25"/>
  <c r="D25"/>
  <c r="B25"/>
  <c r="L24"/>
  <c r="E24"/>
  <c r="N24"/>
  <c r="S24"/>
  <c r="Q24"/>
  <c r="D24"/>
  <c r="B24"/>
  <c r="E23"/>
  <c r="N23"/>
  <c r="S23"/>
  <c r="Q23"/>
  <c r="D23"/>
  <c r="B23"/>
  <c r="E22"/>
  <c r="N22"/>
  <c r="S22"/>
  <c r="Q22"/>
  <c r="D22"/>
  <c r="B22"/>
  <c r="J21"/>
  <c r="L21"/>
  <c r="M21"/>
  <c r="E21"/>
  <c r="N21"/>
  <c r="S21"/>
  <c r="Q21"/>
  <c r="D21"/>
  <c r="B21"/>
  <c r="E20"/>
  <c r="N20"/>
  <c r="S20"/>
  <c r="Q20"/>
  <c r="D20"/>
  <c r="B20"/>
  <c r="E19"/>
  <c r="N19"/>
  <c r="S19"/>
  <c r="Q19"/>
  <c r="D19"/>
  <c r="B19"/>
  <c r="E17"/>
  <c r="N17"/>
  <c r="S17"/>
  <c r="Q17"/>
  <c r="D17"/>
  <c r="B17"/>
  <c r="G16"/>
  <c r="H16"/>
  <c r="I16"/>
  <c r="J16"/>
  <c r="K16"/>
  <c r="L16"/>
  <c r="M16"/>
  <c r="E16"/>
  <c r="P16"/>
  <c r="N16"/>
  <c r="T16"/>
  <c r="S16"/>
  <c r="Q16"/>
  <c r="D16"/>
  <c r="B16"/>
  <c r="E15"/>
  <c r="N15"/>
  <c r="S15"/>
  <c r="Q15"/>
  <c r="D15"/>
  <c r="B15"/>
  <c r="E14"/>
  <c r="N14"/>
  <c r="S14"/>
  <c r="Q14"/>
  <c r="D14"/>
  <c r="B14"/>
  <c r="E13"/>
  <c r="N13"/>
  <c r="S13"/>
  <c r="Q13"/>
  <c r="D13"/>
  <c r="B13"/>
  <c r="E12"/>
  <c r="N12"/>
  <c r="S12"/>
  <c r="Q12"/>
  <c r="D12"/>
  <c r="B12"/>
  <c r="E10"/>
  <c r="N10"/>
  <c r="S10"/>
  <c r="Q10"/>
  <c r="D10"/>
  <c r="B10"/>
  <c r="F9"/>
  <c r="G9"/>
  <c r="H9"/>
  <c r="I9"/>
  <c r="E9"/>
  <c r="P9"/>
  <c r="N9"/>
  <c r="Q9"/>
  <c r="T9"/>
  <c r="S9"/>
  <c r="D9"/>
  <c r="B9"/>
  <c r="E144"/>
  <c r="N144"/>
  <c r="S144"/>
  <c r="Q144"/>
  <c r="D144"/>
  <c r="B144"/>
  <c r="E118"/>
  <c r="S118"/>
  <c r="Q118"/>
  <c r="E150"/>
  <c r="N150"/>
  <c r="S150"/>
  <c r="Q150"/>
  <c r="E180"/>
  <c r="N180"/>
  <c r="S180"/>
  <c r="Q180"/>
  <c r="E167"/>
  <c r="N167"/>
  <c r="D167" s="1"/>
  <c r="B167" s="1"/>
  <c r="S167"/>
  <c r="Q167"/>
  <c r="E165"/>
  <c r="N165"/>
  <c r="S165"/>
  <c r="Q165"/>
  <c r="E178"/>
  <c r="N178"/>
  <c r="S178"/>
  <c r="Q178"/>
  <c r="D178"/>
  <c r="E177"/>
  <c r="N177"/>
  <c r="S177"/>
  <c r="Q177"/>
  <c r="D177"/>
  <c r="E176"/>
  <c r="N176"/>
  <c r="S176"/>
  <c r="Q176"/>
  <c r="D176"/>
  <c r="E175"/>
  <c r="Q175"/>
  <c r="N175"/>
  <c r="S175"/>
  <c r="D175"/>
  <c r="E174"/>
  <c r="N174"/>
  <c r="S174"/>
  <c r="Q174"/>
  <c r="D174"/>
  <c r="E173"/>
  <c r="N173"/>
  <c r="S173"/>
  <c r="Q173"/>
  <c r="D173"/>
  <c r="E172"/>
  <c r="N172"/>
  <c r="S172"/>
  <c r="Q172"/>
  <c r="D172"/>
  <c r="E171"/>
  <c r="N171"/>
  <c r="S171"/>
  <c r="Q171"/>
  <c r="D171"/>
  <c r="E170"/>
  <c r="N170"/>
  <c r="S170"/>
  <c r="Q170"/>
  <c r="D170"/>
  <c r="E169"/>
  <c r="N169"/>
  <c r="S169"/>
  <c r="Q169"/>
  <c r="D169"/>
  <c r="C198" i="5"/>
  <c r="C137"/>
  <c r="C138"/>
  <c r="C139"/>
  <c r="F128"/>
  <c r="C521"/>
  <c r="F514"/>
  <c r="C38"/>
  <c r="C355"/>
  <c r="F348"/>
  <c r="C366"/>
  <c r="F359"/>
  <c r="C188"/>
  <c r="F180"/>
  <c r="F192"/>
  <c r="C207"/>
  <c r="F203"/>
  <c r="C383"/>
  <c r="F379"/>
  <c r="B55" i="14"/>
  <c r="D7"/>
  <c r="D8"/>
  <c r="D9"/>
  <c r="D10"/>
  <c r="D15"/>
  <c r="D16"/>
  <c r="D17"/>
  <c r="D18"/>
  <c r="D24"/>
  <c r="B413" i="5"/>
  <c r="B421"/>
  <c r="B423"/>
  <c r="D27" i="14"/>
  <c r="D41"/>
  <c r="D43"/>
  <c r="B269" i="5"/>
  <c r="B271"/>
  <c r="B273"/>
  <c r="B276"/>
  <c r="B278"/>
  <c r="B280"/>
  <c r="D44" i="14"/>
  <c r="D45"/>
  <c r="D50"/>
  <c r="B8"/>
  <c r="E180" i="5"/>
  <c r="C8" i="14"/>
  <c r="B9"/>
  <c r="E192" i="5"/>
  <c r="C9" i="14"/>
  <c r="B10"/>
  <c r="E203" i="5"/>
  <c r="C10" i="14"/>
  <c r="B11"/>
  <c r="B23"/>
  <c r="C23"/>
  <c r="B24"/>
  <c r="E31" i="5"/>
  <c r="C24" i="14"/>
  <c r="B42"/>
  <c r="B154" i="5"/>
  <c r="B151"/>
  <c r="B149"/>
  <c r="B147"/>
  <c r="E144"/>
  <c r="C42" i="14"/>
  <c r="B27"/>
  <c r="C27"/>
  <c r="B28"/>
  <c r="B435" i="5"/>
  <c r="B433"/>
  <c r="B431"/>
  <c r="C28" i="14"/>
  <c r="B48"/>
  <c r="B475" i="5"/>
  <c r="B473"/>
  <c r="B471"/>
  <c r="B468"/>
  <c r="B466"/>
  <c r="B464"/>
  <c r="E461"/>
  <c r="C48" i="14"/>
  <c r="B49"/>
  <c r="B491" i="5"/>
  <c r="B489"/>
  <c r="B487"/>
  <c r="B485"/>
  <c r="B483"/>
  <c r="E480"/>
  <c r="C49" i="14"/>
  <c r="B19"/>
  <c r="E498" i="5"/>
  <c r="C19" i="14"/>
  <c r="B50"/>
  <c r="E514" i="5"/>
  <c r="C50" i="14"/>
  <c r="B29"/>
  <c r="B537" i="5"/>
  <c r="B535"/>
  <c r="B533"/>
  <c r="B530"/>
  <c r="B528"/>
  <c r="E525"/>
  <c r="C29" i="14"/>
  <c r="B30"/>
  <c r="E542" i="5"/>
  <c r="C30" i="14"/>
  <c r="B36"/>
  <c r="B583" i="5"/>
  <c r="B581"/>
  <c r="B579"/>
  <c r="B577"/>
  <c r="B574"/>
  <c r="B572"/>
  <c r="B570"/>
  <c r="E567"/>
  <c r="C36" i="14"/>
  <c r="B37"/>
  <c r="B600" i="5"/>
  <c r="B595"/>
  <c r="B593"/>
  <c r="B591"/>
  <c r="E588"/>
  <c r="C37" i="14"/>
  <c r="B31"/>
  <c r="B625" i="5"/>
  <c r="B623"/>
  <c r="B621"/>
  <c r="B618"/>
  <c r="B616"/>
  <c r="B614"/>
  <c r="B610"/>
  <c r="E607"/>
  <c r="C31" i="14"/>
  <c r="B20"/>
  <c r="C20"/>
  <c r="B32"/>
  <c r="B664" i="5"/>
  <c r="B662"/>
  <c r="B660"/>
  <c r="B657"/>
  <c r="B655"/>
  <c r="E652"/>
  <c r="C32" i="14"/>
  <c r="B25"/>
  <c r="C25"/>
  <c r="B5"/>
  <c r="B81" i="5"/>
  <c r="B78"/>
  <c r="B76"/>
  <c r="B74"/>
  <c r="B71"/>
  <c r="B69"/>
  <c r="B67"/>
  <c r="E64"/>
  <c r="C5" i="14"/>
  <c r="B6"/>
  <c r="B98" i="5"/>
  <c r="B95"/>
  <c r="B93"/>
  <c r="B91"/>
  <c r="B89"/>
  <c r="E86"/>
  <c r="C6" i="14"/>
  <c r="B7"/>
  <c r="C7"/>
  <c r="B40"/>
  <c r="B41"/>
  <c r="C140" i="5"/>
  <c r="C41" i="14"/>
  <c r="B43"/>
  <c r="E163" i="5"/>
  <c r="C43" i="14"/>
  <c r="B12"/>
  <c r="E224" i="5"/>
  <c r="C12" i="14"/>
  <c r="B13"/>
  <c r="E249" i="5"/>
  <c r="C13" i="14"/>
  <c r="B44"/>
  <c r="E266" i="5"/>
  <c r="C44" i="14"/>
  <c r="B35"/>
  <c r="B46"/>
  <c r="B14"/>
  <c r="B341" i="5"/>
  <c r="B339"/>
  <c r="B336"/>
  <c r="B334"/>
  <c r="B332"/>
  <c r="B330"/>
  <c r="E327"/>
  <c r="C14" i="14"/>
  <c r="B15"/>
  <c r="E348" i="5"/>
  <c r="C15" i="14"/>
  <c r="B16"/>
  <c r="E359" i="5"/>
  <c r="C16" i="14"/>
  <c r="B17"/>
  <c r="C17"/>
  <c r="B18"/>
  <c r="E379" i="5"/>
  <c r="C18" i="14"/>
  <c r="B26"/>
  <c r="B403" i="5"/>
  <c r="B401"/>
  <c r="B399"/>
  <c r="B396"/>
  <c r="B394"/>
  <c r="B392"/>
  <c r="E389"/>
  <c r="C26" i="14"/>
  <c r="B45"/>
  <c r="E285" i="5"/>
  <c r="C45" i="14"/>
  <c r="B47"/>
  <c r="C47"/>
  <c r="D69" i="4"/>
  <c r="B69"/>
  <c r="C68"/>
  <c r="D65"/>
  <c r="D49" i="7"/>
  <c r="D43"/>
  <c r="D44"/>
  <c r="D45"/>
  <c r="D35"/>
  <c r="D38"/>
  <c r="D32"/>
  <c r="D34"/>
  <c r="D42"/>
  <c r="D12"/>
  <c r="D19"/>
  <c r="D14"/>
  <c r="D5"/>
  <c r="D49" i="4"/>
  <c r="D43"/>
  <c r="D35"/>
  <c r="D36"/>
  <c r="D37"/>
  <c r="D34"/>
  <c r="D27"/>
  <c r="D28"/>
  <c r="D17"/>
  <c r="D16"/>
  <c r="D12"/>
  <c r="B166" i="5"/>
  <c r="B168"/>
  <c r="B170"/>
  <c r="B173"/>
  <c r="B175"/>
  <c r="D6" i="7"/>
  <c r="D7"/>
  <c r="D14" i="4"/>
  <c r="D18"/>
  <c r="D19"/>
  <c r="C36" i="5"/>
  <c r="C37"/>
  <c r="B5" i="4"/>
  <c r="B40" i="7"/>
  <c r="C520" i="5"/>
  <c r="C519"/>
  <c r="C365"/>
  <c r="C353"/>
  <c r="C354"/>
  <c r="C309"/>
  <c r="C320"/>
  <c r="C197"/>
  <c r="C187"/>
  <c r="C186"/>
  <c r="C185"/>
  <c r="C135"/>
  <c r="C134"/>
  <c r="C133"/>
  <c r="C132"/>
  <c r="C120"/>
  <c r="C118"/>
  <c r="C119"/>
  <c r="C50" i="7"/>
  <c r="B50"/>
  <c r="C49"/>
  <c r="B49"/>
  <c r="C46"/>
  <c r="B46"/>
  <c r="C45"/>
  <c r="B45"/>
  <c r="C44"/>
  <c r="B44"/>
  <c r="C43"/>
  <c r="B43"/>
  <c r="C42"/>
  <c r="B42"/>
  <c r="C41"/>
  <c r="B41"/>
  <c r="B39"/>
  <c r="C38"/>
  <c r="B38"/>
  <c r="C37"/>
  <c r="B37"/>
  <c r="C36"/>
  <c r="B36"/>
  <c r="C35"/>
  <c r="B35"/>
  <c r="C34"/>
  <c r="B34"/>
  <c r="B33"/>
  <c r="C32"/>
  <c r="B32"/>
  <c r="C31"/>
  <c r="B31"/>
  <c r="C30"/>
  <c r="B30"/>
  <c r="C29"/>
  <c r="B29"/>
  <c r="C26"/>
  <c r="C25"/>
  <c r="C24"/>
  <c r="C23"/>
  <c r="C22"/>
  <c r="C21"/>
  <c r="C20"/>
  <c r="C19"/>
  <c r="C18"/>
  <c r="C17"/>
  <c r="C16"/>
  <c r="C15"/>
  <c r="C14"/>
  <c r="C13"/>
  <c r="C12"/>
  <c r="C11"/>
  <c r="B26"/>
  <c r="B25"/>
  <c r="B24"/>
  <c r="B23"/>
  <c r="B22"/>
  <c r="B21"/>
  <c r="B20"/>
  <c r="B19"/>
  <c r="B18"/>
  <c r="B17"/>
  <c r="B16"/>
  <c r="B15"/>
  <c r="B14"/>
  <c r="B13"/>
  <c r="B12"/>
  <c r="B11"/>
  <c r="C7"/>
  <c r="C6"/>
  <c r="C5"/>
  <c r="B8"/>
  <c r="B7"/>
  <c r="B6"/>
  <c r="B5"/>
  <c r="C60" i="4"/>
  <c r="C59"/>
  <c r="C58"/>
  <c r="B60"/>
  <c r="B59"/>
  <c r="B58"/>
  <c r="C55"/>
  <c r="C54"/>
  <c r="B55"/>
  <c r="B54"/>
  <c r="C51"/>
  <c r="C50"/>
  <c r="C49"/>
  <c r="C48"/>
  <c r="C47"/>
  <c r="C46"/>
  <c r="C45"/>
  <c r="C44"/>
  <c r="C43"/>
  <c r="B51"/>
  <c r="B50"/>
  <c r="B49"/>
  <c r="B48"/>
  <c r="B47"/>
  <c r="B46"/>
  <c r="B45"/>
  <c r="B44"/>
  <c r="B43"/>
  <c r="C40"/>
  <c r="B40"/>
  <c r="C37"/>
  <c r="C36"/>
  <c r="C35"/>
  <c r="C34"/>
  <c r="C33"/>
  <c r="B37"/>
  <c r="B36"/>
  <c r="B35"/>
  <c r="B34"/>
  <c r="B33"/>
  <c r="C28"/>
  <c r="C27"/>
  <c r="B30"/>
  <c r="B29"/>
  <c r="B28"/>
  <c r="B27"/>
  <c r="C24"/>
  <c r="C23"/>
  <c r="B24"/>
  <c r="B23"/>
  <c r="C19"/>
  <c r="C18"/>
  <c r="C17"/>
  <c r="C16"/>
  <c r="C15"/>
  <c r="C14"/>
  <c r="C12"/>
  <c r="C11"/>
  <c r="C10"/>
  <c r="C9"/>
  <c r="B20"/>
  <c r="B19"/>
  <c r="B18"/>
  <c r="B17"/>
  <c r="B16"/>
  <c r="B15"/>
  <c r="B14"/>
  <c r="B13"/>
  <c r="B12"/>
  <c r="B11"/>
  <c r="B10"/>
  <c r="B9"/>
  <c r="C6"/>
  <c r="B6"/>
  <c r="C5"/>
  <c r="D24" i="7"/>
  <c r="D25" i="14"/>
  <c r="D6"/>
  <c r="D50" i="7"/>
  <c r="D51"/>
  <c r="D20"/>
  <c r="D22"/>
  <c r="D23"/>
  <c r="D58" i="4"/>
  <c r="D31" i="14"/>
  <c r="D16" i="7"/>
  <c r="D26"/>
  <c r="D15"/>
  <c r="D25"/>
  <c r="D14" i="14"/>
  <c r="D13"/>
  <c r="D12"/>
  <c r="D5"/>
  <c r="D17" i="7"/>
  <c r="D30" i="14"/>
  <c r="D56"/>
  <c r="D18" i="7"/>
  <c r="C58"/>
  <c r="B133" i="2"/>
  <c r="C218" i="5"/>
  <c r="C217"/>
  <c r="D119" i="2"/>
  <c r="B119"/>
  <c r="D120"/>
  <c r="B120"/>
  <c r="C70" i="4"/>
  <c r="E70"/>
  <c r="F70"/>
  <c r="D26" i="14"/>
  <c r="D40" i="4"/>
  <c r="D41"/>
  <c r="D46" i="7"/>
  <c r="E67" i="4"/>
  <c r="F67"/>
  <c r="E69"/>
  <c r="F69"/>
  <c r="C67"/>
  <c r="C69"/>
  <c r="B71"/>
  <c r="D71"/>
  <c r="D73"/>
  <c r="B57" i="7"/>
  <c r="D57"/>
  <c r="C55" i="14"/>
  <c r="E71" i="4"/>
  <c r="F71"/>
  <c r="C71"/>
  <c r="D41" i="7"/>
  <c r="D37"/>
  <c r="D36"/>
  <c r="D30"/>
  <c r="D51" i="4"/>
  <c r="D48"/>
  <c r="D46"/>
  <c r="D44"/>
  <c r="D33"/>
  <c r="D38"/>
  <c r="D24"/>
  <c r="D23"/>
  <c r="D25"/>
  <c r="D10"/>
  <c r="D49" i="14"/>
  <c r="D48"/>
  <c r="D32"/>
  <c r="D28"/>
  <c r="D20"/>
  <c r="D19"/>
  <c r="C73" i="4"/>
  <c r="E73"/>
  <c r="F73"/>
  <c r="D60"/>
  <c r="D59"/>
  <c r="D61"/>
  <c r="C72"/>
  <c r="E72"/>
  <c r="F72"/>
  <c r="D55"/>
  <c r="D37" i="14"/>
  <c r="C57"/>
  <c r="D36"/>
  <c r="D54" i="4"/>
  <c r="D56"/>
  <c r="D29" i="14"/>
  <c r="D50" i="4"/>
  <c r="E59" i="7"/>
  <c r="F59"/>
  <c r="C59"/>
  <c r="D47" i="14"/>
  <c r="D45" i="4"/>
  <c r="D11"/>
  <c r="D31" i="7"/>
  <c r="D9" i="4"/>
  <c r="D29" i="7"/>
  <c r="D21"/>
  <c r="F211" i="5"/>
  <c r="E211"/>
  <c r="D52" i="4"/>
  <c r="C11" i="14"/>
  <c r="C8" i="7"/>
  <c r="C20" i="4"/>
  <c r="D11" i="14"/>
  <c r="E55" i="7"/>
  <c r="F55"/>
  <c r="D55"/>
  <c r="D66" i="4"/>
  <c r="D8" i="7"/>
  <c r="D20" i="4"/>
  <c r="D55" i="14"/>
  <c r="E55"/>
  <c r="F55"/>
  <c r="D9" i="7"/>
  <c r="D21" i="14"/>
  <c r="D42"/>
  <c r="C321" i="5"/>
  <c r="C319"/>
  <c r="C66" i="4"/>
  <c r="C58" i="14"/>
  <c r="D15" i="4"/>
  <c r="D13" i="7"/>
  <c r="F314" i="5"/>
  <c r="E314"/>
  <c r="C46" i="14"/>
  <c r="C40" i="7"/>
  <c r="C30" i="4"/>
  <c r="D60" i="7"/>
  <c r="D61"/>
  <c r="D74" i="4"/>
  <c r="D75"/>
  <c r="D59" i="14"/>
  <c r="D60"/>
  <c r="D58"/>
  <c r="D46"/>
  <c r="D58" i="7"/>
  <c r="D68" i="4"/>
  <c r="D40" i="7"/>
  <c r="D30" i="4"/>
  <c r="D116" i="2" l="1"/>
  <c r="D115"/>
  <c r="B115" s="1"/>
  <c r="D165"/>
  <c r="B165" s="1"/>
  <c r="D132"/>
  <c r="B132" s="1"/>
  <c r="D105"/>
  <c r="B105" s="1"/>
  <c r="D23" i="14"/>
  <c r="D33" s="1"/>
  <c r="D5" i="4"/>
  <c r="D7" s="1"/>
  <c r="D11" i="7"/>
  <c r="D27" s="1"/>
  <c r="E65" i="4"/>
  <c r="F65" s="1"/>
  <c r="C65"/>
  <c r="C56" i="14"/>
  <c r="E56"/>
  <c r="F56" s="1"/>
  <c r="C59"/>
  <c r="C60" s="1"/>
  <c r="C74" i="4"/>
  <c r="C75" s="1"/>
  <c r="C60" i="7"/>
  <c r="C61" s="1"/>
  <c r="C57"/>
  <c r="E57"/>
  <c r="F57" s="1"/>
  <c r="C307" i="5"/>
  <c r="C310"/>
  <c r="C124"/>
  <c r="C122"/>
  <c r="F114" l="1"/>
  <c r="F302"/>
  <c r="E302"/>
  <c r="C35" i="14" l="1"/>
  <c r="C39" i="7"/>
  <c r="C29" i="4"/>
  <c r="B57" i="14"/>
  <c r="D35"/>
  <c r="E68" i="4"/>
  <c r="F68" s="1"/>
  <c r="B68"/>
  <c r="D39" i="7"/>
  <c r="D29" i="4"/>
  <c r="D31" s="1"/>
  <c r="E57" i="14"/>
  <c r="F57" s="1"/>
  <c r="B59"/>
  <c r="B60" s="1"/>
  <c r="D40"/>
  <c r="D51" s="1"/>
  <c r="B58" i="7"/>
  <c r="B66" i="4"/>
  <c r="D33" i="7"/>
  <c r="D13" i="4"/>
  <c r="B60" i="7"/>
  <c r="B61" s="1"/>
  <c r="B74" i="4"/>
  <c r="B75" s="1"/>
  <c r="B58" i="14"/>
  <c r="E58" i="7"/>
  <c r="F58" s="1"/>
  <c r="E66" i="4"/>
  <c r="F66" s="1"/>
  <c r="E60" i="7"/>
  <c r="F60" s="1"/>
  <c r="E74" i="4"/>
  <c r="F74" s="1"/>
  <c r="E59" i="14"/>
  <c r="F59" s="1"/>
  <c r="E58"/>
  <c r="F58" s="1"/>
  <c r="C40"/>
  <c r="C13" i="4"/>
  <c r="C33" i="7"/>
  <c r="D21" i="4" l="1"/>
  <c r="D62"/>
  <c r="D47" i="7"/>
  <c r="D52"/>
  <c r="D38" i="14"/>
  <c r="D52"/>
</calcChain>
</file>

<file path=xl/comments1.xml><?xml version="1.0" encoding="utf-8"?>
<comments xmlns="http://schemas.openxmlformats.org/spreadsheetml/2006/main">
  <authors>
    <author>dpu2009</author>
  </authors>
  <commentList>
    <comment ref="E128" authorId="0">
      <text>
        <r>
          <rPr>
            <sz val="14"/>
            <color indexed="81"/>
            <rFont val="Tahoma"/>
            <family val="2"/>
          </rPr>
          <t>ต้องบวกด้วยมือเอง</t>
        </r>
      </text>
    </comment>
    <comment ref="C308" authorId="0">
      <text>
        <r>
          <rPr>
            <b/>
            <sz val="11"/>
            <color indexed="81"/>
            <rFont val="Tahoma"/>
            <family val="2"/>
          </rPr>
          <t>ต้องบันทึกด้วยมือ</t>
        </r>
      </text>
    </comment>
  </commentList>
</comments>
</file>

<file path=xl/comments2.xml><?xml version="1.0" encoding="utf-8"?>
<comments xmlns="http://schemas.openxmlformats.org/spreadsheetml/2006/main">
  <authors>
    <author>com</author>
    <author>dpu2009</author>
    <author>dpu</author>
  </authors>
  <commentList>
    <comment ref="N84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ในกลุ่มนี้มี DPUIC ที่ไม่มีค่าความพึงพอใจของนายจ้าง แต่ผึ้งยังไม่ได้ปรับสูตร คิดว่าไม่เป็นไรถ้าไม่กรอกเลขอะไรลงไปในช่องของ DPUIC </t>
        </r>
      </text>
    </comment>
    <comment ref="C120" authorId="1">
      <text>
        <r>
          <rPr>
            <b/>
            <sz val="16"/>
            <color indexed="81"/>
            <rFont val="Tahoma"/>
            <family val="2"/>
          </rPr>
          <t>สำนักกิจฯ</t>
        </r>
      </text>
    </comment>
    <comment ref="T120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ในเล่ม SAR พิมพ์ 56 แต่ถ้าบวกตามสูตรที่ตั้งไว้ต้องได้ 51</t>
        </r>
      </text>
    </comment>
    <comment ref="U143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ศูนย์ธุรกิจ+ศูนย์วิจัย</t>
        </r>
      </text>
    </comment>
    <comment ref="U154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ศูนย์ธุรกิจ 17 + ADCC 13 +ศูนย์วิจัย 7</t>
        </r>
      </text>
    </comment>
    <comment ref="U157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ศูนย์วัฒนธรรม 16</t>
        </r>
      </text>
    </comment>
    <comment ref="U158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ศูนย์วัฒนธรรม</t>
        </r>
      </text>
    </comment>
    <comment ref="U169" authorId="0">
      <text>
        <r>
          <rPr>
            <b/>
            <sz val="8"/>
            <color indexed="81"/>
            <rFont val="Tahoma"/>
            <family val="2"/>
          </rPr>
          <t>com:</t>
        </r>
        <r>
          <rPr>
            <sz val="8"/>
            <color indexed="81"/>
            <rFont val="Tahoma"/>
            <family val="2"/>
          </rPr>
          <t xml:space="preserve">
ผลต่างระหว่างภาพรวมสาขากับข้อมูลยืนยันจากฝ่ายการเงิน</t>
        </r>
      </text>
    </comment>
    <comment ref="B170" authorId="2">
      <text>
        <r>
          <rPr>
            <b/>
            <sz val="8"/>
            <color indexed="81"/>
            <rFont val="Tahoma"/>
            <family val="2"/>
          </rPr>
          <t>dpu:</t>
        </r>
        <r>
          <rPr>
            <sz val="8"/>
            <color indexed="81"/>
            <rFont val="Tahoma"/>
            <family val="2"/>
          </rPr>
          <t xml:space="preserve">
รายได้จากงานอบรม และวิจัยภายนอก</t>
        </r>
      </text>
    </comment>
    <comment ref="B173" authorId="2">
      <text>
        <r>
          <rPr>
            <b/>
            <sz val="8"/>
            <color indexed="81"/>
            <rFont val="Tahoma"/>
            <family val="2"/>
          </rPr>
          <t>dpu:</t>
        </r>
        <r>
          <rPr>
            <sz val="8"/>
            <color indexed="81"/>
            <rFont val="Tahoma"/>
            <family val="2"/>
          </rPr>
          <t xml:space="preserve">
ค่าใช้จ่ายโครงการอบรม และวิจัยภายนอก</t>
        </r>
      </text>
    </comment>
    <comment ref="B174" authorId="2">
      <text>
        <r>
          <rPr>
            <b/>
            <sz val="8"/>
            <color indexed="81"/>
            <rFont val="Tahoma"/>
            <family val="2"/>
          </rPr>
          <t>dpu:</t>
        </r>
        <r>
          <rPr>
            <sz val="8"/>
            <color indexed="81"/>
            <rFont val="Tahoma"/>
            <family val="2"/>
          </rPr>
          <t xml:space="preserve">
ค่าใช้จ่ายศูนย์วัฒนธรรม</t>
        </r>
      </text>
    </comment>
    <comment ref="B175" authorId="2">
      <text>
        <r>
          <rPr>
            <b/>
            <sz val="8"/>
            <color indexed="81"/>
            <rFont val="Tahoma"/>
            <family val="2"/>
          </rPr>
          <t>dpu:</t>
        </r>
        <r>
          <rPr>
            <sz val="8"/>
            <color indexed="81"/>
            <rFont val="Tahoma"/>
            <family val="2"/>
          </rPr>
          <t xml:space="preserve">
ทุนการศึกษาในประเทศและต่างประเทศ และทุนอบรมระยะสั้น</t>
        </r>
      </text>
    </comment>
    <comment ref="B176" authorId="2">
      <text>
        <r>
          <rPr>
            <b/>
            <sz val="8"/>
            <color indexed="81"/>
            <rFont val="Tahoma"/>
            <family val="2"/>
          </rPr>
          <t>dpu:</t>
        </r>
        <r>
          <rPr>
            <sz val="8"/>
            <color indexed="81"/>
            <rFont val="Tahoma"/>
            <family val="2"/>
          </rPr>
          <t xml:space="preserve">
ค่าใช้จ่ายหอสมุด,ศูนย์คอมฯ,ศูนย์สารสนเทศ,ฝ่ายสนับสนุนและพัฒนาองค์กร, สถาบันภาษา + ครุภัณฑ์หอสมุด</t>
        </r>
      </text>
    </comment>
    <comment ref="B178" authorId="2">
      <text>
        <r>
          <rPr>
            <b/>
            <sz val="8"/>
            <color indexed="81"/>
            <rFont val="Tahoma"/>
            <family val="2"/>
          </rPr>
          <t>dpu:</t>
        </r>
        <r>
          <rPr>
            <sz val="8"/>
            <color indexed="81"/>
            <rFont val="Tahoma"/>
            <family val="2"/>
          </rPr>
          <t xml:space="preserve">
ข้อมูลจาก IO</t>
        </r>
      </text>
    </comment>
  </commentList>
</comments>
</file>

<file path=xl/sharedStrings.xml><?xml version="1.0" encoding="utf-8"?>
<sst xmlns="http://schemas.openxmlformats.org/spreadsheetml/2006/main" count="1975" uniqueCount="1153">
  <si>
    <t>11. หลักสูตรวิทยาศาสตรมหาบัณฑิต  สาขาวิชาเทคโนโลยีคอมพิวเตอร์และการสื่อสาร</t>
  </si>
  <si>
    <t>12. หลักสูตรวิทยาศาสตรมหาบัณฑิต  สาขาวิชาการจัดการโซ่อุปทานแบบบูรณาการ</t>
  </si>
  <si>
    <t xml:space="preserve">     5.1 หลักสูตรศิลปศาสตรบัณฑิต  สาขาวิชาภาษาจีนธุรกิจ</t>
  </si>
  <si>
    <t>5.3 ร้อยละของกิจกรรมหรือโครงการบริการทางวิชาการและวิชาชีพที่ตอบสนองความต้องการพัฒนาและเสริมสร้างความเข้มแข็งของสังคม ชุมชน ประเทศชาติและนานาชาติต่ออาจารย์ประจำ</t>
  </si>
  <si>
    <t>1 = อยู่ระหว่างร้อยละ 1 - ร้อยละ 24
2 = ร้อยละ 25 - ร้อยละ 39
3 = มากกว่าหรือเท่ากับร้อยละ 40</t>
  </si>
  <si>
    <t>อาจารย์ประจำที่ปฏิบัติงานจริง</t>
  </si>
  <si>
    <t>5.4 ร้อยละของระดับความพึงพอใจของผู้รับบริการ</t>
  </si>
  <si>
    <t>5.5 จำนวนแหล่งให้บริการทางวิชาการและวิชาชีพที่ได้รับการยอมรับในระดับชาติหรือระดับนานาชาติ</t>
  </si>
  <si>
    <t>1 = 1 - 2 แหล่ง
2 = 3  แหล่ง
3 = มากกว่าหรือเท่ากับ 4 แหล่ง</t>
  </si>
  <si>
    <r>
      <t xml:space="preserve">PM 7 
</t>
    </r>
    <r>
      <rPr>
        <sz val="14"/>
        <rFont val="Browallia New"/>
        <family val="2"/>
      </rPr>
      <t>งานกำหนดอาจารย์ผู้สอน</t>
    </r>
  </si>
  <si>
    <r>
      <t xml:space="preserve">PM 9 
</t>
    </r>
    <r>
      <rPr>
        <sz val="14"/>
        <rFont val="Browallia New"/>
        <family val="2"/>
      </rPr>
      <t>งานทำประมวลการสอนและแผนการสอน</t>
    </r>
  </si>
  <si>
    <r>
      <t xml:space="preserve">PM 12 
</t>
    </r>
    <r>
      <rPr>
        <sz val="14"/>
        <rFont val="Browallia New"/>
        <family val="2"/>
      </rPr>
      <t>งานจัดการเรียนการสอน</t>
    </r>
  </si>
  <si>
    <r>
      <t xml:space="preserve">PM 13 
</t>
    </r>
    <r>
      <rPr>
        <sz val="14"/>
        <rFont val="Browallia New"/>
        <family val="2"/>
      </rPr>
      <t>งานฝึกงานในสถานประกอบการ</t>
    </r>
  </si>
  <si>
    <r>
      <t xml:space="preserve">PM 15 
</t>
    </r>
    <r>
      <rPr>
        <sz val="14"/>
        <rFont val="Browallia New"/>
        <family val="2"/>
      </rPr>
      <t>งานควบคุมกระบวน การจัด ทำข้อสอบ</t>
    </r>
  </si>
  <si>
    <r>
      <t xml:space="preserve">PM 17 
</t>
    </r>
    <r>
      <rPr>
        <sz val="14"/>
        <rFont val="Browallia New"/>
        <family val="2"/>
      </rPr>
      <t>งานประเมิน ผลการสอนของอาจารย์</t>
    </r>
  </si>
  <si>
    <r>
      <t xml:space="preserve">PM 21
</t>
    </r>
    <r>
      <rPr>
        <sz val="14"/>
        <rFont val="Browallia New"/>
        <family val="2"/>
      </rPr>
      <t>งานพัฒนาหรือปรับปรุงหลักสูตร</t>
    </r>
  </si>
  <si>
    <t>ในการเปิดหลักสูตรใหม่มีการพิจารณาความพร้อมทั้งในเรื่องบุคลากร  อาจารย์ผู้สอน  ทรัพยากรห้องสมุดและห้องปฏิบัติการให้เป็นไปตามเกณฑ์มาตรฐานหลักสูตรทุกเรื่อง  ส่วนการปรับปรุงหลักสูตรมักเป็นการปรับเนื้อหาในรายวิชา  และ / หรือยกเลิก  เพิ่มเติมรายวิชาซึ่งสามารถดำเนินงานภายใต้ทรัพยากรที่มีอยู่เดิมในหลักสูตร  ซึ่งได้มีการเตรียมความพร้อมให้เป็นไปตามเกณฑ์มาตรฐานในทุกเรื่องอยู่แล้ว</t>
  </si>
  <si>
    <t>เอกสารหลักสูตรใหม่และหลักสูตรปรับปรุง</t>
  </si>
  <si>
    <t xml:space="preserve"> นศ.,ศิษย์เก่าที่สำเร็จการศึกษาในรอบ 5 ปี </t>
  </si>
  <si>
    <t>7.6 ระดับความสำเร็จในการเปิดโอกาสให้บุคคลภายนอกเข้ามามีส่วนร่วมในการพัฒนาสถาบันอุดมศึกษา</t>
  </si>
  <si>
    <t>2.34) จำนวนบัณฑิตปริญญาตรีที่กรอกแบบสอบถามหัวข้อการได้รับเงินเดือนเริ่มต้นเป็นไปตามเกณฑ์</t>
  </si>
  <si>
    <t xml:space="preserve">เป็นนักวิจัยที่อยู่ในศูนย์วิจัย  </t>
  </si>
  <si>
    <t xml:space="preserve">ในระดับสถาบัน เป็นผลรวมของกลุ่มสาขา และของสำนักกิจการนักศึกษา </t>
  </si>
  <si>
    <t xml:space="preserve">ในระดับสถาบัน เป็นผลรวมของกลุ่มสาขา และของสำนักกิจการนักศึกษา  </t>
  </si>
  <si>
    <t>ในระดับสถาบัน เป็นผลรวมของกลุ่มสาขา และของสำนักกิจการนักศึกษา</t>
  </si>
  <si>
    <t>บัณฑิตที่กรอกแบบสอบถามหัวข้อการได้รับเงินเดือนเริ่มต้นเป็นไปตามเกณฑ์</t>
  </si>
  <si>
    <t>7. มีการประเมินคุณภาพของการให้บริการทั้ง 5 เรื่องข้างต้นเป็นประจำทุกปี</t>
  </si>
  <si>
    <t>เอกสารแผนประจำปีของคณะวิชาและหน่วยงาน</t>
  </si>
  <si>
    <t xml:space="preserve">สายงานเทคโนโลยีสารสนเทศมีการดำเนินการจัดทำนโยบายในการพัฒนาและดำเนินการด้านระบบสารสนเทศเพื่อให้มั่นใจว่ามหาวิทยาลัยจะมีระบบข้อมูลที่นำไปสู่การตัดสินใจดำเนินการต่างๆของผู้บริหารได้อย่างแม่นยำและทันกับความต้องการ
</t>
  </si>
  <si>
    <t>4. มีการติดตามประเมินผลความสำเร็จของการจัดการความรู้</t>
  </si>
  <si>
    <t>5. มีการนำผลการประเมินไปปรับใช้ในการพัฒนากระบวนการจัดการความรู้ให้เป็นส่วนหนึ่งของกระบวนงานปกติและปรับปรุงแผนการจัดการความรู้</t>
  </si>
  <si>
    <t xml:space="preserve">1. มีการจัดทำแผนการบริหารทรัพยากรบุคคลที่เป็นรูปธรรม ภายใต้การวิเคราะห์ข้อมูลเชิงประจักษ์ </t>
  </si>
  <si>
    <t>1 = มีการดำเนินการไม่ครบ 3 ข้อแรก
2 = มีการดำเนินการ 3 ข้อแรก
3 = มีการดำเนินการอย่างน้อย 4 ข้อแรก</t>
  </si>
  <si>
    <t>5 ข้อ</t>
  </si>
  <si>
    <t>ร้อยละ 90</t>
  </si>
  <si>
    <t>ระดับ 8</t>
  </si>
  <si>
    <t>ระดับ 4</t>
  </si>
  <si>
    <t>6 ข้อ</t>
  </si>
  <si>
    <t>4 ข้อ</t>
  </si>
  <si>
    <t>30,000 บาท</t>
  </si>
  <si>
    <t>ร้อยละ 20</t>
  </si>
  <si>
    <t>2.7) จำนวนนักศึกษารวมทุกหลักสูตร</t>
  </si>
  <si>
    <t>2.8) จำนวนนักศึกษาเต็มเวลาเทียบเท่า (FTES) รวมทุกหลักสูตร</t>
  </si>
  <si>
    <t>2.9) จำนวนนักศึกษาเต็มเวลาเทียบเท่า (FTES) ทั้งหมดเมื่อปรับค่ามาเป็นปริญญาตรี</t>
  </si>
  <si>
    <t xml:space="preserve">      - จำนวนนักศึกษาเต็มเวลาเทียบเท่า (ภาคปกติ)</t>
  </si>
  <si>
    <t xml:space="preserve">2. มีกระบวนการพัฒนากลยุทธ์ แผนการดำเนินงาน และแผนปฏิบัติการประจำปีให้สอดคล้องกันและกัน และสอดคล้องกับภารกิจหลักของสถาบัน ยุทธศาสตร์ และแผนพัฒนาของชาติ
</t>
  </si>
  <si>
    <t>2. มีการกำหนดนโยบายและให้ความสำคัญเรื่องการประกันคุณภาพจากคณะกรรมการระดับนโยบายและผู้บริหารสูงสุดของสถาบัน ภายใต้การมีส่วนร่วมจากภาคีทั้งภายในและภายนอกสถาบัน</t>
  </si>
  <si>
    <t>ระดับ 5</t>
  </si>
  <si>
    <t>ระดับ 6</t>
  </si>
  <si>
    <t xml:space="preserve">- เอกสารผลงานของผู้ได้รับรางวัลพระสิทธิธาดาทองคำ
- VDO สรุปการแสดงของศูนย์วัฒนธรรม
</t>
  </si>
  <si>
    <t xml:space="preserve"> </t>
  </si>
  <si>
    <t>ระดับสถาบัน</t>
  </si>
  <si>
    <t xml:space="preserve">2.40) จำนวนนักศึกษาปัจจุบันและศิษย์เก่า (ที่สำเร็จการศึกษาในรอบ 5 ปีที่ผ่านมา) ทั้งหมดทุกระดับการศึกษาที่ได้รับรางวัลประกาศเกียรติคุณยกย่องระดับชาติหรือนานาชาติในปีการศึกษาปัจจุบัน  </t>
  </si>
  <si>
    <t xml:space="preserve">2.41) จำนวนรางวัลประกาศเกียรติคุณยกย่องที่นักศึกษาปัจจุบันและศิษย์เก่า (ที่สำเร็จการศึกษาในรอบ 5 ปีที่ผ่านมา) ทั้งหมดทุกระดับการศึกษาที่ได้รับในระดับชาติหรือนานาชาติในปีการศึกษาปัจจุบัน </t>
  </si>
  <si>
    <t>4.5) จำนวนวิทยานิพนธ์ทั้งหมด(สมศ.)</t>
  </si>
  <si>
    <t xml:space="preserve">5.1) จำนวนอาจารย์ประจำทั้งหมดที่มีส่วนร่วมในการบริการวิชาการแก่สังคม (เช่น เป็นที่ปรึกษา กรรมการวิทยานิพนธ์ภายนอกสถาบัน กรรมการวิชาการ กรรมการวิชาชีพในระดับชาติหรือนานาชาติ)  </t>
  </si>
  <si>
    <t xml:space="preserve">7.1) จำนวนอาจารย์และนักวิจัยประจำทั้งหมดที่ได้รับรางวัลผลงานทางวิชาการหรือวิชาชีพในระดับชาติหรือนานาชาติ  </t>
  </si>
  <si>
    <t>2.2) จำนวนหลักสูตรที่มีจำนวนและคุณวุฒิอาจารย์เป็นไปตามเกณฑ์มาตรฐานหลักสูตร พ.ศ.2548 และแนวปฏิบัติที่เกี่ยวข้อง</t>
  </si>
  <si>
    <t xml:space="preserve">      - ระดับปริญญาโท</t>
  </si>
  <si>
    <t>2. แจกนักศึกษาที่เข้าชั้นเรียนในสัปดาห์แรกได้ทุกกลุ่มเรียน (ทุกกลุ่ม / ขาดกี่กลุ่มเรียน)</t>
  </si>
  <si>
    <t>มุมมองด้านการบริหารจัดการ</t>
  </si>
  <si>
    <t>5.2) จำนวนกิจกรรมหรือโครงการบริการวิชาการและวิชาชีพที่ตอบสนองความต้องการและเสริมสร้างความเข้มแข็งของสังคม ชุมชน ประเทศชาติ และนานาชาติ</t>
  </si>
  <si>
    <t>5.3) จำนวนแหล่งให้บริการวิชาการและวิชาชีพระดับชาติหรือนานาชาติ</t>
  </si>
  <si>
    <t>þ</t>
  </si>
  <si>
    <t>¨</t>
  </si>
  <si>
    <t>´</t>
  </si>
  <si>
    <t xml:space="preserve">      - ด้านการวิจัย</t>
  </si>
  <si>
    <t xml:space="preserve">      - ด้านศิลปวัฒนธรรม</t>
  </si>
  <si>
    <t xml:space="preserve">      - ด้านอื่นๆ</t>
  </si>
  <si>
    <t>7.2) จำนวนรางวัลผลงานทางวิชาการหรือวิชาชีพในระดับชาติหรือนานาชาติที่อาจารย์และนักวิจัยประจำทั้งหมดได้รับ</t>
  </si>
  <si>
    <t>8.1) รายรับทั้งหมดของสถาบัน</t>
  </si>
  <si>
    <t>เฉลี่ยคะแนนด้านการเงิน</t>
  </si>
  <si>
    <t>รายงานการประชุมกรรมการอำนวยการ</t>
  </si>
  <si>
    <t>เอกสารปรับปรุงหลักสูตร และรายงานการประชุมของคณะกรรมการปรับปรุงหลักสูตรของหลักสูตรต่างๆ</t>
  </si>
  <si>
    <t>ระดับ 7</t>
  </si>
  <si>
    <t>not applicable</t>
  </si>
  <si>
    <t xml:space="preserve">ในระดับสถาบัน เป็นผลการสำรวจในระดับสถาบันจากสำนักกิจการนักศึกษา
</t>
  </si>
  <si>
    <t xml:space="preserve">ข้อมูลงบประมาณในระดับสถาบัน เป็นข้อมูลกลางจากฝ่ายการเงินและการบัญชี
</t>
  </si>
  <si>
    <t>1. ร้อยละของกลุ่มเรียนที่อาจารย์เข้าสอนตามตารางสอนไม่ต่ำกว่าร้อยละ 85 ของเวลาเรียน ต่อจำนวนกลุ่มเรียนที่เปิดสอนในแต่ละภาคการศึกษา</t>
  </si>
  <si>
    <t>1. ร้อยละของจำนวนกลุ่มเรียนที่เปิดสอนโดยอาจารย์ผู้สอนที่มีคุณวุฒิ ความรู้ ความสามารถ หรือประสบการณ์ตรง หรือสัมพันธ์กับรายวิชาที่สอนต่อจำนวนกลุ่มเรียนที่เปิดสอนในแต่ละภาคการศึกษา</t>
  </si>
  <si>
    <t>2.22) จำนวนบุคลากรสายสนับสนุนประจำทั้งหมด (สาย ข และ ค)</t>
  </si>
  <si>
    <t>2.23)  จำนวนบุคลากรสายสนับสนุนที่เป็นนักวิจัยที่ปฏิบัติงานจริง</t>
  </si>
  <si>
    <t xml:space="preserve">2.46) จำนวนรางวัลประกาศเกียรติคุณยกย่องที่นักศึกษาปัจจุบันและศิษย์เก่าทั้งหมดทุกระดับการศึกษาที่ได้รับในระดับชาติหรือนานาชาติ (นับซ้ำได้ หากหนึ่งผลงานได้มากกว่า 1 รางวัล) </t>
  </si>
  <si>
    <t xml:space="preserve">2.45) จำนวนนักศึกษาปัจจุบันและศิษย์เก่าทั้งหมดทุกระดับการศึกษาที่ได้รับรางวัลประกาศเกียรติคุณยกย่องระดับชาติหรือนานาชาติ (สมศ.) (นับซ้ำได้ หากหนึ่งคนได้มากกว่า 1 รางวัล) </t>
  </si>
  <si>
    <t>- หนังสือพิธีพระราชทานรางวัลพระสิทธิธาดาทองคำ
- โครงการของศูนย์วัฒนธรรม
- เอกสารขอบันทึกรายการโทรทัศน์
- ตารางเข้าเยี่ยมชมศูนย์วัฒนธรรม
- ตารางเข้าเยี่ยมชมหอประวัติและพิพิธภัณฑ์ ดร.ไสว สุทธิพิทักษ์</t>
  </si>
  <si>
    <t>- รายงานการประชุมคณะกรรมการบุคคล
- รายงานการประชุมคณะกรรมการอำนวยการ</t>
  </si>
  <si>
    <t>- รายงานการประชุมคณะกรรมการบุคคล
- แบบฟอร์มการประเมินผลการปฏิบัติงาน
- รูปแบบการเขียนรานงานการประเมินตนเองของผู้บริหาร</t>
  </si>
  <si>
    <t>ส.ภาษา</t>
  </si>
  <si>
    <t xml:space="preserve">DPUIC 
</t>
  </si>
  <si>
    <t>เปิดสอนมากกว่าแผนที่กำหนด</t>
  </si>
  <si>
    <t xml:space="preserve">- ระเบียบการใช้ห้อง LAB และการใช้คอมพิวเตอร์ ของศูนย์คอมพิวเตอร์
- ระเบียบการยืมอุปกรณ์โสตทัศนศึกษา ของศูนย์เทคโนโลยีทางการศึกษา
- ระเบียบการยืมอุปกรณ์ที่ใช้ในห้องประชุม และระเบียบการใช้ยานพาหนะ ของฝ่ายอาคารสถานที่และยานพาหนะ
- ระเบียบการใช้ห้องสตูดิโอ ของคณะนิเทศศาสตร์
- ระเบียบการใช้โรงละคร ของคณะศิลปกรรมศาสตร์
</t>
  </si>
  <si>
    <t xml:space="preserve">รายงานการใช้สถานที่ของหน่วยงานอื่นนอกมหาวิทยาลัย ของฝ่ายอาคารสถานที่และยานพาหนะ 
</t>
  </si>
  <si>
    <t>5. มีการนำข้อมูลทางการเงินไปใช้ในการวิเคราะห์ค่าใช้จ่าย และวิเคราะห์สถานะทางการเงินและความมั่นคงขององค์การอย่างต่อเนื่อง</t>
  </si>
  <si>
    <t>แผนงานของฝ่ายระบบสารสนเทศ</t>
  </si>
  <si>
    <t>เอกสารเกี่ยวกับระบบฐานข้อมูล</t>
  </si>
  <si>
    <r>
      <t>8.</t>
    </r>
    <r>
      <rPr>
        <sz val="14"/>
        <rFont val="Times New Roman"/>
        <family val="1"/>
      </rPr>
      <t xml:space="preserve"> </t>
    </r>
    <r>
      <rPr>
        <sz val="14"/>
        <rFont val="Browallia New"/>
        <family val="2"/>
      </rPr>
      <t>การเงินและงบประมาณ</t>
    </r>
  </si>
  <si>
    <r>
      <t>4.</t>
    </r>
    <r>
      <rPr>
        <sz val="14"/>
        <rFont val="Times New Roman"/>
        <family val="1"/>
      </rPr>
      <t xml:space="preserve"> </t>
    </r>
    <r>
      <rPr>
        <sz val="14"/>
        <rFont val="Browallia New"/>
        <family val="2"/>
      </rPr>
      <t>การวิจัย</t>
    </r>
  </si>
  <si>
    <t>6.การทำนุบำรุงศิลปวัฒนธรรม</t>
  </si>
  <si>
    <t>2.5 สัดส่วนของอาจารย์ประจำที่มีวุฒิปริญญาตรี ปริญญาโท ปริญญาเอก หรือเทียบเท่าต่ออาจารย์ประจำ</t>
  </si>
  <si>
    <t>1 = มีการดำเนินการไม่ครบ 5 ข้อแรก
2 = มีการดำเนินการ 5 ข้อแรก
3 = มีการดำเนินการครบ 6 ข้อแรก</t>
  </si>
  <si>
    <t>1 = มีการดำเนินการไม่ครบ 3 ข้อแรก
2 = มีการดำเนินการ 3 ข้อแรก
3 = มีการดำเนินการครบทุกข้อ</t>
  </si>
  <si>
    <t xml:space="preserve">1 = มีการดำเนินการไม่ครบ 3 ข้อ
2 = มีการดำเนินการ 3 ข้อ
3 = มีการดำเนินการอย่างน้อย 4 ข้อ  </t>
  </si>
  <si>
    <t>ทุกกลุ่ม</t>
  </si>
  <si>
    <t>ไม่มี
ฝึกงาน</t>
  </si>
  <si>
    <t>มีครบ</t>
  </si>
  <si>
    <t xml:space="preserve">1 = อยู่ระหว่าง 1 - 16,999 บาท
2 = 17,000 บาท - 24,999 บาท
3 = มากกว่าหรือเท่ากับ 25,000 บาท    </t>
  </si>
  <si>
    <t>การคำนวณผลการดำเนินงาน</t>
  </si>
  <si>
    <t>1 = มีการดำเนินการไม่ครบ 4 ข้อ
2 = มีการดำเนินการ 4 ข้อ
3 = มีการดำเนินการครบทุกข้อ</t>
  </si>
  <si>
    <t>1 = มีการดำเนินการไม่ครบ 5 ข้อแรก
2 = มีการดำเนินการ 5 - 7 ข้อแรก
3 = มีการดำเนินการครบทุกข้อ</t>
  </si>
  <si>
    <t>รายการ</t>
  </si>
  <si>
    <t>1.2) จำนวนตัวบ่งชี้ของแผนปฏิบัติงานประจำปีที่บรรลุเป้าหมาย</t>
  </si>
  <si>
    <t>2.1) จำนวนหลักสูตรที่เปิดสอนทั้งหมด</t>
  </si>
  <si>
    <t xml:space="preserve">      - ระดับปริญญาตรี</t>
  </si>
  <si>
    <t xml:space="preserve">      - ระดับปริญญาโท </t>
  </si>
  <si>
    <t xml:space="preserve">             · แผน ก</t>
  </si>
  <si>
    <t xml:space="preserve">      - จำนวนเงินสนับสนุนจากภายในสถาบัน</t>
  </si>
  <si>
    <t xml:space="preserve">      - จำนวนที่ได้รับทุนจากภายนอกสถาบัน</t>
  </si>
  <si>
    <t xml:space="preserve">      - จำนวนที่ได้รับทุนจากภายในสถาบัน</t>
  </si>
  <si>
    <t>4.3) จำนวนการเผยแพร่ผลงานวิจัยและงานสร้างสรรค์ของอาจารย์และนักวิจัยประจำที่ปฏิบัติงานจริง</t>
  </si>
  <si>
    <t xml:space="preserve">      - จำนวนผลงานที่ตีพิมพ์เผยแพร่ระดับชาติ</t>
  </si>
  <si>
    <t xml:space="preserve">      - จำนวนผลงานที่ตีพิมพ์เผยแพร่ระดับนานาชาติ</t>
  </si>
  <si>
    <t xml:space="preserve">      - จำนวนผลงานที่จดสิทธิบัตรและอนุสิทธิบัตรในรอบ 5 ปีที่ผ่านมา (สมศ.)</t>
  </si>
  <si>
    <t xml:space="preserve">      - จำนวนผลงานที่นำไปใช้ประโยชน์ระดับชาติหรือนานาชาติ</t>
  </si>
  <si>
    <t>จำนวนนักศึกษาที่เข้าร่วมกิจกรรม นับเฉพาะของกลุ่มสาขา</t>
  </si>
  <si>
    <t>5. มีการประเมินความพึงพอใจของบุคลากรทุกระดับอย่างเป็นระบบ</t>
  </si>
  <si>
    <t>6. มีการนำผลการประเมินความพึงพอใจเสนอผู้บริหารระดับสูง และมีแนวทางในการปรับปรุงพัฒนาเพื่อให้ดีขึ้น</t>
  </si>
  <si>
    <t>1. มีนโยบายในการจัดทำระบบฐานข้อมูลเพื่อการตัดสินใจ</t>
  </si>
  <si>
    <t>2. มีระบบฐานข้อมูลเพื่อการตัดสินใจ</t>
  </si>
  <si>
    <t>3. มีการประเมินประสิทธิภาพ และความปลอดภัยของระบบฐานข้อมูล</t>
  </si>
  <si>
    <r>
      <t xml:space="preserve">3. </t>
    </r>
    <r>
      <rPr>
        <sz val="14"/>
        <rFont val="Browallia New"/>
        <family val="2"/>
      </rPr>
      <t>กิจกรรมการพัฒนานิสิตนักศึกษา</t>
    </r>
  </si>
  <si>
    <t>4. มีการประเมินความพึงพอใจของผู้ใช้ฐานข้อมูล</t>
  </si>
  <si>
    <t>5. มีการนำผลการประเมินในข้อ 3 และ 4 มาปรับปรุงระบบฐานข้อมูล</t>
  </si>
  <si>
    <t>6. มีการเชื่อมโยงระบบฐานข้อมูลของสถาบันผ่านระบบเครือข่ายกับสำนักงานคณะกรรมการการอุดมศึกษาตามรูปแบบมาตรฐานที่กำหนด</t>
  </si>
  <si>
    <t>1. มีการเปิดเผยข้อมูลข่าวสารแก่ประชาชนอย่างโปร่งใส ผ่านช่องทางต่างๆ อาทิ เอกสารสิ่งพิมพ์ เว็บไซต์ นิทรรศการ</t>
  </si>
  <si>
    <t>2. มีระบบการรับฟังความคิดเห็นของประชาชนผ่านช่องทางที่เปิดเผยและเป็นที่รับรู้กันโดยทั่วอย่างน้อย 3 ช่องทาง</t>
  </si>
  <si>
    <t>3. มีการนำความคิดเห็นของประชาชนไปประกอบการบริหารงาน  โดยมีเจ้าหน้าที่รับผิดชอบและมีการดำเนินงานอย่างเป็นรูปธรรม</t>
  </si>
  <si>
    <t>ชื่องาน</t>
  </si>
  <si>
    <t>ตัวบ่งชี้</t>
  </si>
  <si>
    <t>2.1 ระบบการประกันคุณภาพการศึกษาภายในของ สกอ.</t>
  </si>
  <si>
    <t>ทุกหลักสูตรมีผู้ทรงคุณวุฒิเป็นกรรมการพัฒนาหรือปรับปรุงหลักสูตร ในแผนพัฒนามหาวิทยาลัยได้กำหนดให้มีจำนวนผู้ทรงคุณวุฒิภายนอกมากกว่าจำนวนอาจารย์ภายใน</t>
  </si>
  <si>
    <t>- แบบสำรวจความคิดเห็นของนักศึกษาที่มีต่อการสอนของอาจารย์
- รายชื่อสถานประกอบการที่ขึ้นทะเบียนไว้</t>
  </si>
  <si>
    <t>- ระเบียบมหาวิทยาลัยธุรกิจบัณฑิตย์ ว่าด้วยการบริหารงานมหาวิทยาลัยธุรกิจบัณฑิตย์  
- ข้อบังคับมหาวิทยาลัยธุรกิจบัณฑิตย์ ว่าด้วยการบริหารงานบุคคล พ.ศ. 2550
- โครงการฝึกอบรมผู้บริหาร
- รายงานการประชุมคณะกรรมการชุดต่างๆ
- รายงานการประชุมผู้บริหาร</t>
  </si>
  <si>
    <t>ในระดับคณะวิชา  คณบดีเป็นผู้เสนอตำแหน่งในคณะวิชาโดยพิจารณาและได้รับความเห็นชอบจากอาจารย์ในคณะวิชา ตำแหน่งบริหารในหน่วยงานสนับสนุน ผู้อำนวยการเป็นผู้เสนอ ข้อเสนอจะเข้าสู่การพิจารณาอนุมัติจากคณะกรรมการบุคคล ส่วนตำแหน่งที่สำคัญได้แก่ รองอธิการบดี คณบดี และผู้อำนวยการ จะผ่านการพิจารณาจากคณะกรรมการอำนวยการ</t>
  </si>
  <si>
    <t xml:space="preserve">ระดับสถาบัน เป็นผลรวมของกลุ่มสาขา และศูนย์วิจัย  
</t>
  </si>
  <si>
    <t xml:space="preserve">ระดับสถาบัน เป็นผลรวมของกลุ่มสาขา  และศูนย์วิจัย  
</t>
  </si>
  <si>
    <t xml:space="preserve">ระดับสถาบัน เป็นผลรวมของกลุ่มสาขา และศูนย์วัฒนธรรม  
</t>
  </si>
  <si>
    <t>1. มีแผนกลยุทธ์ทางการเงินที่สอดคล้องกับยุทธศาสตร์ของสถาบันให้เป็นไปตามเป้าหมาย</t>
  </si>
  <si>
    <t>2. มีแนวทางจัดหาทรัพยากรทางด้านการเงิน  แผนการจัดสรร และการวางแผนการใช้เงินอย่างมีประสิทธิภาพโปร่งใส  ตรวจสอบได้</t>
  </si>
  <si>
    <t xml:space="preserve">8.7) ค่าใช้จ่ายเพื่อพัฒนาอาจารย์ (สมศ.)
</t>
  </si>
  <si>
    <t>6.  คณะนิเทศศาสตร์ (หลักสูตร 4 ปี)</t>
  </si>
  <si>
    <t xml:space="preserve">     6.5 หลักสูตรนิเทศศาสตรบัณฑิต  สาขาวิชาสื่อสารการตลาด</t>
  </si>
  <si>
    <t>7.  คณะวิศวกรรมศาสตร์  (หลักสูตร 4 ปี)</t>
  </si>
  <si>
    <t xml:space="preserve">     7.4 หลักสูตรวิศวกรรมศาสตรบัณฑิต  สาขาวิชาวิศวกรรมโทรคมนาคม</t>
  </si>
  <si>
    <t xml:space="preserve">     7.5 หลักสูตรวิทยาศาสตรบัณฑิต  สาขาวิชาการจัดการพลังงาน</t>
  </si>
  <si>
    <t xml:space="preserve">     7.6 หลักสูตรวิศวกรรมศาสตรบัณฑิต  สาขาวิศวกรรมคอมพิวเตอร์แอนิเมชันและเกม</t>
  </si>
  <si>
    <t>8.  คณะเทคโนโลยีสารสนเทศ  (หลักสูตร 4 ปี)</t>
  </si>
  <si>
    <t xml:space="preserve">     8.2 หลักสูตรบริหารธุรกิจบัณฑิต  สาขาวิชาเทคโนโลยีสารสนเทศธุรกิจ (หลักสูตร 4 ปี และหลักสูตรต่อเนื่อง 2 ปี)
</t>
  </si>
  <si>
    <t>9.  คณะศิลปกรรมศาสตร์  (หลักสูตร 4 ปี)</t>
  </si>
  <si>
    <t xml:space="preserve">ระดับปริญญาโท </t>
  </si>
  <si>
    <t xml:space="preserve">2.  หลักสูตรเศรษฐศาสตรมหาบัณฑิต  สาขาวิชาเศรษฐศาสตร์  </t>
  </si>
  <si>
    <t xml:space="preserve">     4.1 หลักสูตรนิติศาสตรบัณฑิต  สาขาวิชานิติศาสตร์</t>
  </si>
  <si>
    <t xml:space="preserve">     4.2 หลักสูตรนิติศาสตรบัณฑิต  (ภาคบัณฑิต)</t>
  </si>
  <si>
    <t xml:space="preserve">           หลักสูตรศิลปศาสตรบัณฑิต  สาขาวิชาภาษาอังกฤษ  </t>
  </si>
  <si>
    <t>11. วิทยาลัยนานาชาติ  (หลักสูตรนานาชาติ 4 ปี)</t>
  </si>
  <si>
    <t xml:space="preserve">     11.3 หลักสูตรศิลปศาสตรบัณฑิต  สาขาวิชาการจัดการการบริการและการท่องเที่ยว  </t>
  </si>
  <si>
    <t xml:space="preserve">     11.2 หลักสูตรศิลปศาสตรบัณฑิต  สาขาวิชาภาษาอังกฤษเพื่อการสื่อสารธุรกิจ </t>
  </si>
  <si>
    <t xml:space="preserve">     11.1 หลักสูตรวิทยาศาสตรบัณฑิต  สาขาวิชาเทคโนโลยีสารสนเทศ </t>
  </si>
  <si>
    <t>5.  หลักสูตรปรัชญาดุษฎีบัณฑิต  สาขาวิชาสารสนเทศอัตโนมัติเชิงธุรกิจ (หลักสูตรนานาชาติ)</t>
  </si>
  <si>
    <t>6.  หลักสูตรบริหารธุรกิจดุษฎีบัณฑิต  (หลักสูตรนานาชาติ)</t>
  </si>
  <si>
    <t>9. หลักสูตรวิทยาศาสตรมหาบัณฑิต  สาขาวิชาการจัดการเทคโนโลยีในอาคาร</t>
  </si>
  <si>
    <t>13. หลักสูตรวิศวกรรมศาสตรมหาบัณฑิต  สาขาวิชาวิศวกรรมคอมพิวเตอร์และโทรคมนาคม</t>
  </si>
  <si>
    <t>14. หลักสูตรวิทยาศาสตรมหาบัณฑิต  สาขาวิชาการจัดการความรู้</t>
  </si>
  <si>
    <t xml:space="preserve">1) ศูนย์นิเทศศาสตร์พัฒนาการแห่งภูมิภาคเอเชียและแปซิฟิก (ADCC)
2) ศูนย์ธุรกิจวิทยบริการ
3) ศูนย์วัฒนธรรม 
4) ศูนย์วิจัย
5) สถาบันพัฒนานักวิชาชีพบัญชี คณะการบัญชี
6) ศูนย์ทดสอบภาษาอังกฤษ สถาบันภาษา </t>
  </si>
  <si>
    <t xml:space="preserve">   ตัวบ่งชี้ที่ 7.8</t>
  </si>
  <si>
    <t xml:space="preserve">   ตัวบ่งชี้ที่ 7.9</t>
  </si>
  <si>
    <t>เฉลี่ยคะแนนองค์ประกอบที่ 7</t>
  </si>
  <si>
    <t>องค์ประกอบที่ 8</t>
  </si>
  <si>
    <t xml:space="preserve">   ตัวบ่งชี้ที่ 8.1</t>
  </si>
  <si>
    <t xml:space="preserve">   ตัวบ่งชี้ที่ 8.2</t>
  </si>
  <si>
    <t>องค์ประกอบที่ 9</t>
  </si>
  <si>
    <t xml:space="preserve">   ตัวบ่งชี้ที่ 9.1</t>
  </si>
  <si>
    <t xml:space="preserve">   ตัวบ่งชี้ที่ 9.2</t>
  </si>
  <si>
    <t xml:space="preserve">   ตัวบ่งชี้ที่ 9.3</t>
  </si>
  <si>
    <t>เฉลี่ยคะแนนองค์ประกอบที่ 9</t>
  </si>
  <si>
    <t>เฉลี่ยคะแนนองค์ประกอบที่ 6</t>
  </si>
  <si>
    <t>2.37) ระดับความพึงพอใจของนายจ้างผู้ประกอบการและผู้ใช้บัณฑิต (เทียบจากค่า 5 ระดับ)</t>
  </si>
  <si>
    <t>2.38) จำนวนบัณฑิตระดับปริญญาโททั้งหมด (สมศ.)</t>
  </si>
  <si>
    <t>2.39) จำนวนบัณฑิตระดับปริญญาเอกทั้งหมด (สมศ.)</t>
  </si>
  <si>
    <t>3. มีระบบสวัสดิการและเสริมสร้างสุขภาพที่ดี และสร้างบรรยากาศที่ดีให้บุคลากรทำงานได้อย่างมีประสิทธิภาพและอยู่อย่างมีความสุข</t>
  </si>
  <si>
    <t>4. มีระบบส่งเสริมสนับสนุนบุคลากรที่มีศักยภาพสูงให้มีโอกาสประสบความสำเร็จและก้าวหน้าในอาชีพอย่างรวดเร็วตามสายงาน</t>
  </si>
  <si>
    <t>แฟ้มระบบและกลไกการเปิดและปิดหลักสูตร</t>
  </si>
  <si>
    <t>สถิติจำนวนอาจารย์ของฝ่ายทรัพยากรบุคคล</t>
  </si>
  <si>
    <t>3.2 มีการส่งเสริมกิจกรรมนักศึกษาที่ครบถ้วนและสอดคล้องกับคุณลักษณะของบัณฑิตที่พึงประสงค์</t>
  </si>
  <si>
    <t>องค์ประกอบที่ 4  การวิจัย</t>
  </si>
  <si>
    <t>4.1 มีการพัฒนาระบบและกลไกในการสนับสนุนการผลิตงานวิจัยและงานสร้างสรรค์</t>
  </si>
  <si>
    <t>1 = มีการดำเนินการไม่ครบ 3 ข้อ
2 = มีการดำเนินการ 3 - 4 ข้อ
3 = มีการดำเนินการอย่างน้อย 5 ข้อ</t>
  </si>
  <si>
    <t>4.2 มีระบบบริหารจัดการความรู้จากงานวิจัยและงานสร้างสรรค์</t>
  </si>
  <si>
    <t>4.3 เงินสนับสนุนงานวิจัยและงานสร้างสรรค์จากภายในและภายนอกสถาบันต่อจำนวนอาจารย์ประจำ</t>
  </si>
  <si>
    <t>2.42) จำนวนนักศึกษาปัจจุบันและศิษย์เก่า (ที่สำเร็จการศึกษาในรอบ 5 ปีที่ผ่านมา) ทั้งหมดทุกระดับการศึกษาที่ได้รับรางวัลด้านศิลปะและวัฒนธรรมในปีการศึกษาปัจจุบัน (นับซ้ำได้ หากหนึ่งคนได้มากกว่า 1 รางวัล) (เฉพาะสถาบันที่เน้นการผลิตบัณฑิตและศิลปวัฒนธรรม)</t>
  </si>
  <si>
    <t xml:space="preserve">1 = มีการดำเนินการไม่ครบ 3 ข้อแรก
2 = มีการดำเนินการ 3 ข้อแรก
3 = มีการดำเนินการอย่างน้อย 4 ข้อแรก
</t>
  </si>
  <si>
    <t xml:space="preserve">      - ด้านคุณธรรม จริยธรรม</t>
  </si>
  <si>
    <t xml:space="preserve">      - ด้านกีฬา สุขภาพ</t>
  </si>
  <si>
    <t xml:space="preserve">มีการใช้ห้องเรียนและห้องปฏิบัติการคอมพิวเตอร์ร่วมกันทุกคณะ การใช้ห้องปฏิบัติการวิทยาศาสตร์ร่วมกันระหว่างคณะศิลปศาสตร์และวิทยาศาสตร์ และคณะวิศวกรรมศาสตร์  การใช้โรงละครรวมทั้งการใช้ห้องสตูดิโอระหว่างคณะนิเทศศาสตร์ และคณะศิลปกรรมศาสตร์ มีการใช้ห้องประชุมร่วมกันทั้งคณะวิชา หน่วยงานวิจัย และหน่วยงานที่ให้บริการวิชาการของมหาวิทยาลัย การใช้สถานที่และอุปกรณ์กีฬา และการใช้บริการยานพาหนะร่วมกัน  
</t>
  </si>
  <si>
    <t>1. ด้านนักศึกษาและผู้มีส่วนได้ส่วนเสีย</t>
  </si>
  <si>
    <t>2.3) จำนวนหลักสูตรบัณฑิตศึกษาที่อาจารย์มีภาระงานที่ปรึกษาวิทยานิพนธ์และการค้นคว้าอิสระเป็นไปตามเกณฑ์มาตรฐานหลักสูตร</t>
  </si>
  <si>
    <t>2.4) จำนวนหลักสูตรบัณฑิตศึกษาที่นักศึกษาปฏิบัติตามเกณฑ์สำเร็จการศึกษาครบถ้วนตามที่ระบุในเกณฑ์มาตรฐานหลักสูตร</t>
  </si>
  <si>
    <t xml:space="preserve">      - ระดับปริญญาตรี </t>
  </si>
  <si>
    <t xml:space="preserve">             · ภาคปกติ</t>
  </si>
  <si>
    <t xml:space="preserve">             · ภาคพิเศษ</t>
  </si>
  <si>
    <t xml:space="preserve">      - ระดับปริญญาโท  </t>
  </si>
  <si>
    <t xml:space="preserve">      - ระดับปริญญาเอก  </t>
  </si>
  <si>
    <t>2.6) จำนวนหลักสูตรที่จัดทำขึ้นใหม่หรือที่ปรับปรุงและจำนวนหลักสูตรที่ยังไม่มีการปรับปรุงซึ่งมีโครงการหรือกิจกรรมที่บุคคล ชุมชน องค์กรภายนอกมีส่วนร่วม</t>
  </si>
  <si>
    <t>3. มีการประชุมกรรมการสภาสถาบันอย่างต่ำร้อยละ 80 ของแผน  ในการประชุมแต่ละครั้งมีกรรมการเข้าร่วมโดยเฉลี่ยไม่น้อยกว่าร้อยละ 80 โดยมีการส่งเอกสารให้กรรมการสภาสถาบันอย่างน้อย 7 วันก่อนการประชุม</t>
  </si>
  <si>
    <t>4. สภาสถาบันจัดให้มีการประเมินผลงานของอธิการบดีหรือผู้บริหารสูงสุดตามหลักเกณฑ์ที่ตกลงกันไว้ล่วงหน้า</t>
  </si>
  <si>
    <t>5. สภาสถาบันมีการดำเนินงานโดยใช้หลักธรรมาภิบาลและส่งเสริมการบริหารงานโดยใช้หลักธรรมาภิบาลทั่วทั้งองค์กร</t>
  </si>
  <si>
    <t xml:space="preserve">1. มีกระบวนการสรรหาผู้บริหารที่เป็นระบบ โปร่งใส ตรวจสอบได้
</t>
  </si>
  <si>
    <t>2. ผู้บริหารดำเนินการบริหารด้วยหลักธรรมาภิบาลและใช้ศักยภาพภาวะผู้นำที่มีอยู่โดยคำนึงถึงประโยชน์ของสถาบันและผู้มีส่วนได้ส่วนเสีย</t>
  </si>
  <si>
    <t>3. มีกระบวนการประเมินศักยภาพและผลการปฏิบัติงานของผู้บริหารที่ชัดเจนและเป็นที่ยอมรับในสถาบัน</t>
  </si>
  <si>
    <t>www.dpu.ac.th/research</t>
  </si>
  <si>
    <t>- แบบฟอร์มตัวบ่งชี้ 5.3 และ 5.4
- ข้อมูลของคณะวิชา ศูนย์วิจัย ศูนย์ธุรกิจวิทยบริการ และ ADCC</t>
  </si>
  <si>
    <t>1.  คณะบริหารธุรกิจ (หลักสูตร 4 ปี และหลักสูตรต่อเนื่อง 2 ปี)</t>
  </si>
  <si>
    <t xml:space="preserve">     1.8 หลักสูตรบริหารธุรกิจบัณฑิต  สาขาวิชาการบริหารทรัพย์สิน (เฉพาะ 4 ปี)</t>
  </si>
  <si>
    <t>2.  คณะการบัญชี  (หลักสูตร 4 ปี และหลักสูตรต่อเนื่อง 2 ปี)</t>
  </si>
  <si>
    <t>5.  คณะศิลปศาสตร์และวิทยาศาสตร์  (หลักสูตร 4 ปี)</t>
  </si>
  <si>
    <t xml:space="preserve">- คู่มืออาจารย์
- โครงการการรับรองคุณภาพการสอน
-  ประกาศการคัดเลือกอาจารย์ผู้สอนดีเด่นและอาจารย์ที่ปรึกษาดีเด่น
-  โครงการอาจารย์กัลยาณมิตร
</t>
  </si>
  <si>
    <t>- ได้ประชาสัมพันธ์จรรยาบรรณของอาจารย์ในเว็บไซต์ของมหาวิทยาลัย และได้ใส่ไว้ในคู่มืออาจารย์
- ในจรรยาบรรณที่เกี่ยวข้องกับการเรียนการสอน มหาวิทยาลัยได้ดำเนินการส่งเสริมโดยจัดทำโครงการรับรองคุณภาพการสอนสำหรับอาจารย์ที่สอนดีและทำหน้าที่อาจารย์ที่สมบูรณ์  อาจารย์ที่ได้รับการรับรองในระดับดีมากจะได้รับการพิจารณาคัดเลือกเป็นอาจารย์ดีเด่น
- จรรยาบรรณที่เกี่ยวข้องกับการดูแลนักศึกษา อาจารย์ในคณะวิชาที่เปิดสอนหลักสูตรทุกคนเป็นอาจารย์ที่ปรึกษามีนักศึกษาในความดูแลจำนวนแตกต่างกันแล้วแต่คณะ/สาขาวิชา มีการให้รางวัลอาจารย์ที่ปรึกษาดีเด่น และอาจารย์กัลยาณมิตรดีเด่น (อาจารย์ที่ปรึกษาของนักศึกษาชั้นปีที่ 1)</t>
  </si>
  <si>
    <t xml:space="preserve">- การดำเนินการในการวางแผนป้องกันหรือหาแนวทางแก้ไขการกระทำผิดจะอยู่ในรูปแบบของการส่งเสริมสนับสนุนและสร้างแรงจูงใจในลักษณะต่างๆ ให้อาจารย์เป็นอาจารย์ที่ดี เช่น เงินค่าตอบแทนการรับรองคุณภาพการสอน การให้ค่าตำแหน่งทางวิชาการเป็นรายเดือน การให้เงินตอบแทนการวิจัยเป็นรายเดือน และให้รางวัลเพิ่มเมื่อประเมินผลงานวิจัยแล้ว การให้เงินค่าจัดทำบทเรียนผ่านเว็บ เป็นต้น 
- โครงสร้างการบริหารงานมีระดับการดูแลลดหลั่นลงมา ทำให้มีการดูแลอาจารย์อย่างใกล้ชิด ในระดับคณะวิชา มีคณบดี รองคณบดี หัวหน้าภาควิชา หัวหน้าหมวดวิชา หัวหน้ากลุ่มวิชา แต่ละคณะมีการประชุมทุกเดือน การดูแลและประชุมพูดคุยเป็นประจำเป็นวิธีการหนึ่งในการป้องกันการกระทำที่ผิดจรรยาบรรณ 
</t>
  </si>
  <si>
    <t>สรุปแบบสำรวจความพึงพอใจและความต้องการของนักศึกษาชั้นปีที่ 1</t>
  </si>
  <si>
    <t>หน่วยงานสนับสนุน</t>
  </si>
  <si>
    <t>2.24) จำนวนบุคลากรสายสนับสนุนที่เป็นนักวิจัยที่ลาศึกษาต่อ</t>
  </si>
  <si>
    <t>ในแผนการสอนของทุกวิชาจะระบุวิธีการสอนและกิจกรรมรวมทั้งระบุจำนวนชั่วโมงที่สอนโดยเน้นผู้เรียนเป็นสำคัญ ทุกหลักสูตรมีการจัดกิจกรรมให้นักศึกษาได้เรียนรู้นอกห้องเรียน โดยมีการกำหนดร้อยละของเวลาที่จัดกิจกรรมการเรียนรู้นอกห้องเรียนต่อเวลาที่ใช้สอนทั้งหมดในแผนพัฒนามหาวิทยาลัย ทุกหลักสูตรมีสหกิจศึกษาหรือฝึกงาน มีการเพิ่มชั่วโมงปฏิบัติการในหลักสูตรที่ต้องฝึกปฏิบัติ เช่น เทคโนโลยีสารสนเทศ การบัญชี เป็นต้น</t>
  </si>
  <si>
    <t xml:space="preserve">1. มีกลไกการให้ความรู้ความเข้าใจกับอาจารย์ผู้สอนถึงวัตถุประสงค์และเป้าหมายของการจัดการศึกษาทุกหลักสูตร
</t>
  </si>
  <si>
    <t xml:space="preserve">2. มีการออกแบบการเรียนการสอนและจัดกิจกรรมการเรียนรู้ที่เน้นผู้เรียนเป็นสำคัญทุกหลักสูตร
</t>
  </si>
  <si>
    <t xml:space="preserve">3. มีการใช้สื่อและเทคโนโลยีหรือนวัตกรรมในการสอนเพื่อส่งเสริมการเรียนรู้ทุกหลักสูตร
</t>
  </si>
  <si>
    <t xml:space="preserve">6. มีการประเมินผลความพึงพอใจของผู้เรียนในเรื่องคุณภาพการสอนและสิ่งสนับสนุนการเรียนรู้ทุกหลักสูตร
</t>
  </si>
  <si>
    <t xml:space="preserve">7. มีระบบการปรับปรุงวิธีการเรียนการสอนและพัฒนาผู้เรียนอย่างต่อเนื่องทุกหลักสูตร
</t>
  </si>
  <si>
    <t xml:space="preserve">1. มีระบบและกลไกที่กำหนดให้ผู้ทรงคุณวุฒิ หรือผู้รู้ในชุมชนมาช่วยในการพัฒนาและปรับปรุงหลักสูตรทุกหลักสูตร
</t>
  </si>
  <si>
    <t xml:space="preserve">2. มีการจัดการเรียนการสอนที่ส่งเสริมให้ผู้เรียนมีความรู้และทักษะที่นำไปใช้ในการปฏิบัติได้จริง โดยผู้ทรงคุณวุฒิ หรือผู้รู้ในชุมชนมีส่วนร่วมทุกหลักสูตร 
</t>
  </si>
  <si>
    <t xml:space="preserve">3. มีการจัดโครงการ กิจกรรมทางการศึกษาทั้งที่กำหนดและไม่กำหนดในหลักสูตรโดยความร่วมมือกับองค์การหรือหน่วยงานภายนอก
</t>
  </si>
  <si>
    <t xml:space="preserve">4. มีการติดตาม ตรวจสอบและประเมินกิจกรรมการเรียนการสอนที่ได้รับการสนับสนุนจากผู้ทรงคุณวุฒิหรือชุมชนภายนอกสถาบันทุกหลักสูตร
</t>
  </si>
  <si>
    <t xml:space="preserve">5. มีการนำผลการประเมินไปปรับปรุงการมีส่วนร่วมของบุคคล องค์การ และชุมชนภายนอกในการพัฒนาหลักสูตรและการเรียนการสอนทุกหลักสูตร
</t>
  </si>
  <si>
    <t>1. สถาบันมีการกำหนดจรรยาบรรณวิชาชีพคณาจารย์ไว้เป็นลายลักษณ์อักษร</t>
  </si>
  <si>
    <t>2. มีกระบวนการส่งเสริมให้ผู้เกี่ยวข้องได้ปฏิบัติตามจรรยาบรรณวิชาชีพ</t>
  </si>
  <si>
    <t>3. มีการกำกับดูแลการปฏิบัติตามจรรยาบรรณวิชาชีพ</t>
  </si>
  <si>
    <t>4. มีระบบในการดำเนินการกับผู้ที่ไม่ปฏิบัติตามจรรยาบรรณวิชาชีพ</t>
  </si>
  <si>
    <t>5. มีการสร้างเครือข่ายวิจัยด้านนวัตกรรมการเรียนการสอนทั้งภายในและภายนอกสถาบัน</t>
  </si>
  <si>
    <t xml:space="preserve">1. มีการสำรวจความต้องการจำเป็นของนักศึกษาปีที่ 1 </t>
  </si>
  <si>
    <t xml:space="preserve">2. มีการจัดบริการด้านสิ่งอำนวยความสะดวกที่เอื้อต่อการพัฒนาการเรียนรู้ของนักศึกษา  </t>
  </si>
  <si>
    <t xml:space="preserve">3. มีการจัดบริการด้านกายภาพที่ส่งเสริมคุณภาพชีวิตของนักศึกษา  </t>
  </si>
  <si>
    <t>4. มีการจัดบริการให้คำปรึกษาแก่นักศึกษา</t>
  </si>
  <si>
    <t xml:space="preserve">5. มีบริการข้อมูลข่าวสารที่เป็นประโยชน์ต่อนักศึกษาและศิษย์เก่า  </t>
  </si>
  <si>
    <t>6. มีการจัดโครงการเพื่อพัฒนาประสบการณ์ทางวิชาชีพแก่นักศึกษาและศิษย์เก่า</t>
  </si>
  <si>
    <r>
      <t xml:space="preserve">คณะ
</t>
    </r>
    <r>
      <rPr>
        <b/>
        <sz val="12"/>
        <rFont val="Browallia New"/>
        <family val="2"/>
      </rPr>
      <t>เศรษฐศาสตร์</t>
    </r>
  </si>
  <si>
    <t>ในระบบบริหารคุณภาพสากล ISO มีการนำข้อสังเกตของผู้ตรวจ BVQI มาปรับปรุงแก้ไขในทุกเรื่อง ส่วนการประเมินตามตัวบ่งชี้อื่นๆ ของระบบประกันคุณภาพ มีการรายงานในรายงานการประเมินตนเอง ซึ่งต้องระบุแผนการพัฒนาปรับปรุงการดำเนินงานจากผลประเมิน และมีการรายงานในปีต่อมาด้วยว่ามีการดำเนินการตามแผนการปรับปรุงหรือไม่อย่างไร</t>
  </si>
  <si>
    <r>
      <t>งานวิจัยฯที่ตีพิมพ์เผยแพร่</t>
    </r>
    <r>
      <rPr>
        <sz val="15"/>
        <rFont val="Browallia New"/>
        <family val="2"/>
      </rPr>
      <t xml:space="preserve">   x 100</t>
    </r>
  </si>
  <si>
    <t>6. มีการจัดทำแผนการเชื่อมโยงและบูรณาการการบริการทางวิชาการแก่สังคมเข้ากับการเรียนการสอนหรือการวิจัยหรือการทำนุบำรุงศิลปวัฒนธรรม</t>
  </si>
  <si>
    <r>
      <t>กิจกรรม/โครงการบริการวิชาการ</t>
    </r>
    <r>
      <rPr>
        <sz val="14"/>
        <rFont val="Browallia New"/>
        <family val="2"/>
      </rPr>
      <t xml:space="preserve"> x 100</t>
    </r>
  </si>
  <si>
    <t>2.  หลักสูตรบริหารธุรกิจดุษฎีบัณฑิต</t>
  </si>
  <si>
    <t>3.  หลักสูตรนิเทศศาสตรดุษฎีบัณฑิต</t>
  </si>
  <si>
    <t>4. หลักสูตรศึกษาศาสตรดุษฎีบัณฑิต สาขาวิชาการจัดการการศึกษา</t>
  </si>
  <si>
    <t>10. หลักสูตรวิทยาศาสตรมหาบัณฑิต  สาขาวิชาการจัดการโทรคมนาคม</t>
  </si>
  <si>
    <t>2.8 มีระบบและกลไกสนับสนุนให้อาจารย์ประจำทำการวิจัยเพื่อพัฒนาการเรียนการสอน</t>
  </si>
  <si>
    <t xml:space="preserve">1 = มีการดำเนินการไม่ครบ 3 ข้อ
2 = มีการดำเนินการ 3 - 4 ข้อ
3 = มีการดำเนินการครบทุกข้อ  </t>
  </si>
  <si>
    <t xml:space="preserve">      - จำนวนเงินสนับสนุนจากภายนอกสถาบัน</t>
  </si>
  <si>
    <t>1 = ร้อยละ 1 - ร้อยละ 59
2 = ร้อยละ 60 - ร้อยละ 79
3 = มากกว่าหรือเท่ากับร้อยละ 80</t>
  </si>
  <si>
    <t>2.10 ร้อยละของบัณฑิตระดับปริญญาตรีที่ได้รับเงินเดือนเริ่มต้นเป็นไปตามเกณฑ์</t>
  </si>
  <si>
    <t>1 = ร้อยละ 1 - 74 ได้รับเงินเดือนเท่ากับหรือสูงกว่าเกณฑ์ ก.พ.
2 = ร้อยละ 75 - 99 ได้รับเงินเดือนเท่ากับหรือสูงกว่าเกณฑ์ ก.พ.
3 = ร้อยละ 100 ได้รับเงินเดือนเท่ากับหรือสูงกว่าเกณฑ์ ก.พ.</t>
  </si>
  <si>
    <t>2.11 ระดับความพึงพอใจของนายจ้าง ผู้ประกอบการ และผู้ใช้บัณฑิต</t>
  </si>
  <si>
    <t xml:space="preserve">       อาจารย์และนักวิจัยทั้งหมด</t>
  </si>
  <si>
    <t>2.13) จำนวนอาจารย์ประจำทั้งหมดวุฒิปริญญาตรีหรือเทียบเท่า</t>
  </si>
  <si>
    <t>2.14) จำนวนอาจารย์ประจำทั้งหมดวุฒิปริญญาโทหรือเทียบเท่า</t>
  </si>
  <si>
    <t>จำนวนแหล่งให้บริการทางวิชาการและวิชาชีพที่ได้รับการยอมรับในระดับชาติหรือระดับนานาชาติ</t>
  </si>
  <si>
    <t>องค์ประกอบที่ 6  การทำนุบำรุงศิลปวัฒนธรรม</t>
  </si>
  <si>
    <t>6.1 มีระบบและกลไกในการทำนุบำรุงศิลปวัฒนธรรม</t>
  </si>
  <si>
    <t>2. มีกลไกการบริหารวิชาการที่จะกระตุ้นให้อาจารย์คิดค้นพัฒนานวัตกรรมใหม่ๆ ในด้านการเรียนการสอน</t>
  </si>
  <si>
    <t>3. มีแหล่งทุนสนับสนุนการวิจัย  เพื่อพัฒนาการเรียนการสอนและนวัตกรรมทางการศึกษา</t>
  </si>
  <si>
    <t>-</t>
  </si>
  <si>
    <t>ผลการประเมิน</t>
  </si>
  <si>
    <t>4. มีผลงานวิจัยด้านการเรียนการสอนและมีการจัดเวทีแลกเปลี่ยนและเผยแพร่ผลงานวิจัยด้านการเรียนการสอนและนวัตกรรมทางการศึกษาอย่างสม่ำเสมอ</t>
  </si>
  <si>
    <t>ข้อมูลจากการสำรวจความคิดเห็นของนักศึกษาที่มีต่อการสอนของอาจารย์นำมาวิเคราะห์และแจ้งคณบดี หากคะแนนของอาจารย์รายใดมีแนวโน้มลดลง คณบดีจะพิจารณาดำเนินการ มีศูนย์นวัตกรรมการเรียนการสอนให้คำปรึกษาอาจารย์เกี่ยวกับการเรียนการสอน มีการจัดอบรมเทคนิคการสอนระดับอุดมศึกษาทุกภาคฤดูร้อน มีการเยี่ยมชั้นเรียนโดยที่ปรึกษาและผู้บริหารอย่างต่อเนื่องตั้งแต่ปีการศึกษา 2545 มีโครงการรับรองคุณภาพการสอนและมีชุมชนผู้สอนคุณภาพ จัดเสวนาวิชาการเกี่ยวกับการสอนทุกภาคการศึกษา  มีการตั้งคณะกรรมการเยี่ยมชั้นเรียนในระดับคณะวิชา</t>
  </si>
  <si>
    <t xml:space="preserve">1 = &lt; ร้อยละ 80 ของจำนวนคณะวิชา
2 = ร้อยละ 80-90 ของจำนวนคณะวิชา
3 = ร้อยละ 100 ของจำนวนคณะวิชา
</t>
  </si>
  <si>
    <t>- ค่า FTES ของฝ่ายทะเบียนและประมวลผล
- สถิติจำนวนอาจารย์ของฝ่ายทรัพยากรบุคคล
- รายงานผลการประเมินคุณภาพของคณะวิชา 12 คณะวิชา</t>
  </si>
  <si>
    <t>จำนวนคณะวิชาทั้งหมด</t>
  </si>
  <si>
    <t>5. มีการดำเนินการวางแผน ป้องกัน หรือหาแนวทางแก้ไขการกระทำผิดจรรยาบรรณวิชาชีพ</t>
  </si>
  <si>
    <t>3. มีการจัดทำระบบฐานข้อมูลทางการเงินที่ผู้บริหารสามารถนำไปใช้ในการตัดสินใจและวิเคราะห์สถานะทางการเงิน</t>
  </si>
  <si>
    <t>4. มีการจัดทำรายงานทางการเงินอย่างเป็นระบบอย่างน้อยปีละ 2 ครั้ง</t>
  </si>
  <si>
    <t>เฉลี่ยคะแนนรวมทุกตัวบ่งชี้ของ
ทุกองค์ประกอบ</t>
  </si>
  <si>
    <t>เฉลี่ยคะแนนรวมทุกตัวบ่งชี้ของ
ทุกมาตรฐาน</t>
  </si>
  <si>
    <t>6. มีหน่วยงานตรวจสอบภายในและภายนอก ทำหน้าที่ตรวจ ติดตามการใช้เงินให้เป็นไปตามระเบียบและกฎเกณฑ์ที่สถาบันกำหนด</t>
  </si>
  <si>
    <t xml:space="preserve">1 = ร้อยละ 0.003 – ร้อยละ 0.015
2 = ร้อยละ 0.016 – ร้อยละ 0.029
3 = มากกว่าหรือเท่ากับร้อยละ 0.030  </t>
  </si>
  <si>
    <t>องค์ประกอบที่ 3  กิจกรรมการพัฒนานิสิตนักศึกษา</t>
  </si>
  <si>
    <t>3.1 มีการจัดบริการแก่นักศึกษาและศิษย์เก่า</t>
  </si>
  <si>
    <t>1 = มีการดำเนินการไม่ครบ 7 ข้อแรก
2 = มีการดำเนินการ 7 ข้อแรก
3 = มีการดำเนินการครบทุกข้อ</t>
  </si>
  <si>
    <t>เฉลี่ยคะแนนด้านนักศึกษาและ
ผู้มีส่วนได้ส่วนเสีย</t>
  </si>
  <si>
    <r>
      <t xml:space="preserve">PM 6 
</t>
    </r>
    <r>
      <rPr>
        <sz val="14"/>
        <rFont val="Browallia New"/>
        <family val="2"/>
      </rPr>
      <t>งานจัดทำตาราง สอนและตารางสอบ</t>
    </r>
  </si>
  <si>
    <t>4. มีที่ปรึกษาที่มาจากภาคประชาชน ทั้งที่เป็นทางการและไม่เป็นทางการ และมีการดำเนินกิจกรรมร่วมกันอย่างต่อเนื่องและชัดเจน เช่น จัดประชุมร่วมกันอย่างน้อยปีละ 2 ครั้ง</t>
  </si>
  <si>
    <t>5. มีกระบวนการหรือกลไกการติดตามตรวจสอบโดยภาคประชาชน</t>
  </si>
  <si>
    <t>1. มีการแต่งตั้งคณะกรรมการหรือคณะทำงานบริหารความเสี่ยง โดยมีผู้บริหารระดับสูงและตัวแทนที่รับผิดชอบพันธกิจหลักของสถาบันร่วมเป็นคณะกรรมการหรือคณะทำงาน โดยผู้บริหารระดับสูงต้องมีบทบาทสำคัญในการกำหนดนโยบายหรือแนวทางในการบริหารความเสี่ยง</t>
  </si>
  <si>
    <t>3. มีการจัดทำแผนบริหารความเสี่ยง  โดยแผนดังกล่าวต้องกำหนดมาตรการหรือแผนปฏิบัติการในการสร้างความรู้ ความเข้าใจให้กับบุคลากรทุกระดับในด้านการบริหารความเสี่ยง และการดำเนินการแก้ไข ลด หรือป้องกันความเสี่ยงที่จะเกิดขึ้นอย่างเป็นรูปธรรม</t>
  </si>
  <si>
    <t>2. มีการวิเคราะห์และระบุปัจจัยเสี่ยงที่ส่งผลกระทบหรือสร้างความเสียหายหรือความล้มเหลวหรือลดโอกาสที่จะบรรลุเป้าหมายในการบริหารงาน และจัดลำดับความสำคัญของปัจจัยเสี่ยง</t>
  </si>
  <si>
    <t>- มีกระบวนการในการบริหารจัดการ มีการกำหนดระเบียบวินัยที่ชัดเจน มีการพัฒนาศักยภาพของผู้บริหารด้านการบริหารและภาวะผู้นำ
- การบริหารใช้หลักการบริหารแบบมีส่วนร่วมในการบริหารงานด้านต่างๆ มีคณะกรรมการกำหนดนโยบายและกำกับการดำเนินงาน เช่น คณะกรรมการวิชาการ คณะกรรมการวิจัย คณะกรรมการบุคคล เป็นต้น  มีการประชุมผู้บริหารทุกเดือน โดยองค์ประชุมประกอบด้วย ผู้บริหารทุกระดับทั้งสายวิชาการและสายสนับสนุนวิชาการ</t>
  </si>
  <si>
    <t xml:space="preserve">     6.6 หลักสูตรนิเทศศาสตรบัณฑิต  สาขาวิชาภาพยนตร์และสื่อดิจิทัล</t>
  </si>
  <si>
    <t xml:space="preserve">    -  จำนวนหลักสูตรที่ครบกำหนดจะต้องมีการพิจารณาปรับปรุงตามกำหนดระยะเวลาไม่เกิน 3 ปี
</t>
  </si>
  <si>
    <t>8.2 มีการใช้ทรัพยากรภายในและภายนอกสถาบันร่วมกัน</t>
  </si>
  <si>
    <t>องค์ประกอบที่ 9 ระบบและกลไกการประกันคุณภาพ</t>
  </si>
  <si>
    <t>9.1 มีระบบและกลไกการประกันคุณภาพภายในที่เป็นส่วนหนึ่งของกระบวนการบริหารการศึกษา</t>
  </si>
  <si>
    <t>1 = มีการดำเนินการไม่ครบ 4 ข้อแรก
2 = มีการดำเนินการ 4 ข้อแรก
3 = มีการดำเนินการอย่างน้อย 5 ข้อแรก</t>
  </si>
  <si>
    <t>9.2 มีระบบและกลไกการให้ความรู้และทักษะด้านการประกันคุณภาพแก่นักศึกษา</t>
  </si>
  <si>
    <t>9.3 ระดับความสำเร็จของการประกันคุณภาพการศึกษาภายใน</t>
  </si>
  <si>
    <t xml:space="preserve">   ตัวบ่งชี้ที่ 2.8</t>
  </si>
  <si>
    <t>มาตรฐานที่ 3</t>
  </si>
  <si>
    <t>เฉลี่ยคะแนนมาตรฐานที่ 1</t>
  </si>
  <si>
    <t>เฉลี่ยคะแนนมาตรฐานที่ 2 ก</t>
  </si>
  <si>
    <t xml:space="preserve">   ตัวบ่งชี้ที่ 6.1   </t>
  </si>
  <si>
    <t>เฉลี่ยคะแนนมาตรฐานที่ 2 ข</t>
  </si>
  <si>
    <t>เฉลี่ยคะแนนมาตรฐานที่ 3</t>
  </si>
  <si>
    <t>1. มาตรฐานด้านคุณภาพบัณฑิต</t>
  </si>
  <si>
    <t>2. มาตรฐานด้านการบริหารจัดการอุดมศึกษา</t>
  </si>
  <si>
    <t xml:space="preserve">   ก. มาตรฐานด้านธรรมาภิบาลของการบริหารการอุดมศึกษา</t>
  </si>
  <si>
    <t xml:space="preserve">   ข. มาตรฐานด้านพันธกิจของการบริหารการอุดมศึกษา</t>
  </si>
  <si>
    <t>3.  มาตรฐานด้านการสร้างและพัฒนาสังคมฐานความรู้ฯ</t>
  </si>
  <si>
    <t xml:space="preserve">3. มีการกำหนดมาตรฐานตัวบ่งชี้และเกณฑ์คุณภาพที่สอดคล้องกับมาตรฐานการอุดมศึกษาและมาตรฐานอื่นๆ ที่เกี่ยวข้อง และสอดคล้องกับการประเมินคุณภาพภายนอก </t>
  </si>
  <si>
    <t>5. มีการนำผลการประกันคุณภาพมาพัฒนาปรับปรุงการดำเนินงาน</t>
  </si>
  <si>
    <t>4. มีการดำเนินงานด้านการประกันคุณภาพที่ครบถ้วน ทั้งการควบคุมคุณภาพ การติดตาม ตรวจสอบ และประเมินคุณภาพอย่างต่อเนื่องเป็นประจำ (อย่างน้อย 3 ปีนับรวมปีที่มีการติดตาม)</t>
  </si>
  <si>
    <t>6. มีระบบฐานข้อมูลและสารสนเทศที่สนับสนุนการประกันคุณภาพการศึกษา และใช้ร่วมกันทั้งระดับบุคคล ภาควิชา คณะ และสถาบัน</t>
  </si>
  <si>
    <t>7. มีระบบส่งเสริมการสร้างเครือข่ายด้านการประกันคุณภาพการศึกษาระหว่างหน่วยงานทั้งภายในและภายนอกสถาบัน</t>
  </si>
  <si>
    <t>1. มีระบบการให้ความรู้และทักษะการประกันคุณภาพการศึกษาแก่นักศึกษา</t>
  </si>
  <si>
    <t xml:space="preserve">2. มีระบบส่งเสริมให้นักศึกษานำความรู้ด้านการประกันคุณภาพไปใช้กับกิจกรรมนักศึกษา </t>
  </si>
  <si>
    <t>3. มีกลไกให้นักศึกษามีส่วนร่วมในการประกันคุณภาพการศึกษาของมหาวิทยาลัย</t>
  </si>
  <si>
    <t xml:space="preserve">4. นักศึกษามีการใช้กระบวนการคุณภาพในการพัฒนาคุณภาพของกิจกรรมหรือโครงการนักศึกษา </t>
  </si>
  <si>
    <t>5. นักศึกษาสร้างเครือข่ายการพัฒนาคุณภาพภายในสถาบันและระหว่างสถาบัน</t>
  </si>
  <si>
    <t>ภาค 2</t>
  </si>
  <si>
    <t>ตัวบ่งชี้ด้าน
ปัจจัยนำเข้า</t>
  </si>
  <si>
    <t>ตัวบ่งชี้ด้าน
กระบวนการ</t>
  </si>
  <si>
    <t>ตัวบ่งชี้ด้าน
ผลผลิตหรือผลลัพธ์</t>
  </si>
  <si>
    <t>รวม</t>
  </si>
  <si>
    <t>เกณฑ์การให้คะแนน</t>
  </si>
  <si>
    <t xml:space="preserve">      1 = มีการดำเนินการไม่ครบ 5 ข้อแรก
      2 = มีการดำเนินการ 5 - 6 ข้อแรก
      3 = มีการดำเนินการครบทุกข้อ</t>
  </si>
  <si>
    <t>6. มีระบบและกลไกส่งเสริมความร่วมมือระหว่างนักวิจัยกับองค์กรภายนอกทั้งภาครัฐเอกชนและภาคอุตสาหกรรม</t>
  </si>
  <si>
    <t>2.26) จำนวนบุคลากรสายสนับสนุนทั้งหมดที่ได้รับการพัฒนาความรู้และทักษะวิชาชีพ (สมศ.)</t>
  </si>
  <si>
    <t>1. มีระบบและกลไกสนับสนุนการเผยแพร่ผลงานวิจัยและงานสร้างสรรค์ทั้งในวงการวิชาการและการนำไปใช้ประโยชน์</t>
  </si>
  <si>
    <t>2. มีระบบรวบรวม คัดสรร วิเคราะห์ และสังเคราะห์ความรู้จากงานวิจัยและงานสร้างสรรค์ที่เชื่อถือได้และรวดเร็วทันต่อการใช้ประโยชน์</t>
  </si>
  <si>
    <t>3. มีการสร้างเครือข่ายเผยแพร่ผลงานวิจัยและงานสร้างสรรค์ไปยังผู้เกี่ยวข้องทั้งภายในและภายนอกสถาบัน</t>
  </si>
  <si>
    <t>4. มีระบบและกลไกการสนับสนุนความร่วมมือระหว่างนักวิจัยกับองค์การภายนอกสถาบันเพื่อการนำผลงานไปใช้ประโยชน์</t>
  </si>
  <si>
    <t>5. มีกลไกสนับสนุนการจดสิทธิบัตรการซื้อขายทรัพย์สินทางปัญญา ตลอดจนการคุ้มครองสิทธิของงานวิจัย หรือสิ่งประดิษฐ์ หรือนวัตกรรมให้แก่นักวิจัยเจ้าของผลงาน</t>
  </si>
  <si>
    <t>1. มีการจัดทำนโยบาย แผนกลยุทธ์ และแผนดำเนินงานของการบริการทางวิชาการแก่สังคม</t>
  </si>
  <si>
    <t>2. มีคณะกรรมการ คณะทำงานหรือหน่วยงานดำเนินการให้บริการทางวิชาการแก่สังคมตามแผนที่กำหนด</t>
  </si>
  <si>
    <t>3. มีการกำหนดหลักเกณฑ์และหรือระเบียบในการให้บริการทางวิชาการแก่สังคม</t>
  </si>
  <si>
    <t>4. มีการประเมินผลการปฏิบัติงานตามแผนที่กำหนด</t>
  </si>
  <si>
    <t>5. มีการนำผลการประเมินไปปรับปรุงการบริการวิชาการแก่สังคม</t>
  </si>
  <si>
    <t>1. มีระบบและกลไกการเปิดและปิดหลักสูตร</t>
  </si>
  <si>
    <t xml:space="preserve">2. มีการกำหนดเป้าหมายการผลิตบัณฑิตทุกหลักสูตรในแผนการผลิตบัณฑิต
</t>
  </si>
  <si>
    <t xml:space="preserve">5. มีการนำผลการวิเคราะห์ข้อมูลการดำเนินการหลักสูตรประจำปีการศึกษาไปปรับปรุงหลักสูตรและหรือปรับปรุงระบบและกลไกการบริหารหลักสูตร
</t>
  </si>
  <si>
    <t xml:space="preserve">6. หลักสูตรที่เปิดสอนทุกหลักสูตรได้มาตรฐานตามเกณฑ์มาตรฐานทุกเรื่อง และมีการประกันคุณภาพหลักสูตรครบทุกประเด็นตามเกณฑ์มาตรฐานหลักสูตร
</t>
  </si>
  <si>
    <t xml:space="preserve">7. หลักสูตรระดับบัณฑิตศึกษาที่เน้นการวิจัย (ปริญญาโท เฉพาะ แผน (ก) และ ปริญญาเอก) ที่เปิดสอนมีจำนวนมากกว่าร้อยละ 50 ของจำนวนหลักสูตรทั้งหมด  
</t>
  </si>
  <si>
    <t>บทที่ 2  ผลการดำเนินงานการประกันคุณภาพการศึกษาภายใน</t>
  </si>
  <si>
    <t xml:space="preserve">      - ด้านศิลปและวัฒนธรรม</t>
  </si>
  <si>
    <t xml:space="preserve">4. มีการวิเคราะห์ข้อมูลการดำเนินการทุกหลักสูตรประจำปีการศึกษา เช่น ร้อยละของหลักสูตรที่ไม่เป็นไปตามเกณฑ์มาตรฐาน ร้อยละของบทความจากวิทยานิพนธ์ที่ตีพิมพ์เผยแพร่ ร้อยละของบัณฑิตที่ทำงานตรงสาขา
</t>
  </si>
  <si>
    <t>1 = มีการดำเนินการไม่ครบ 3 ข้อแรก
2 = มีการดำเนินการ 3 - 4 ข้อแรก
3 = มีการดำเนินการครบทุกข้อ</t>
  </si>
  <si>
    <t>7.7 ร้อยละของอาจารย์ประจำที่ได้รับรางวัลผลงานทางวิชาการหรือวิชาชีพในระดับชาติหรือนานาชาติ</t>
  </si>
  <si>
    <t>1 = ร้อยละ 0.1 - ร้อยละ 0.99
2 = ร้อยละ 1 - ร้อยละ 1.99
3 = มากกว่าหรือเท่ากับร้อยละ 2</t>
  </si>
  <si>
    <t xml:space="preserve">7.8 มีการนำระบบบริหารความเสี่ยงมาใช้ในกระบวนการบริหารการศึกษา </t>
  </si>
  <si>
    <t>1 = มีการดำเนินการไม่ครบ 3 ข้อแรก
2 = มีการดำเนินการ 3 – 4 ข้อแรก
3= มีการดำเนินการครบทุกข้อ</t>
  </si>
  <si>
    <t>7.9 ระดับความสำเร็จของการถ่ายทอดตัวบ่งชี้และเป้าหมายของระดับองค์กรสู่ระดับบุคคล</t>
  </si>
  <si>
    <t>8.1 มีระบบและกลไกในการจัดสรร การวิเคราะห์ค่าใช้จ่าย การตรวจสอบการเงิน และงบประมาณอย่างมีประสิทธิภาพ</t>
  </si>
  <si>
    <t xml:space="preserve">1 = มีการดำเนินการไม่ครบ 5 ข้อแรก
2 = มีการดำเนินการ 5 - 6 ข้อแรก
3 = มีการดำเนินการครบทุกข้อ
</t>
  </si>
  <si>
    <t xml:space="preserve">      - ด้านวิชาการ  วิชาชีพ</t>
  </si>
  <si>
    <t xml:space="preserve">      - ด้านคุณธรรม  จริยธรรม</t>
  </si>
  <si>
    <t xml:space="preserve">      - ด้านกีฬา  สุขภาพ</t>
  </si>
  <si>
    <t xml:space="preserve">      - ด้านศิลปะและวัฒนธรรม</t>
  </si>
  <si>
    <t xml:space="preserve">      - ด้านสิ่งแวดล้อม</t>
  </si>
  <si>
    <t>2.43) จำนวนนักศึกษาปัจจุบันและศิษย์เก่า (ที่สำเร็จการศึกษาในรอบ 5 ปีที่ผ่านมา) ทั้งหมดทุกระดับการศึกษาที่ได้รับรางวัลประกาศเกียรติคุณยกย่องระดับชาติหรือนานาชาติจากผลงานวิจัยหรือวิทยานิพนธ์ในปีการศึกษาปัจจุบัน (นับซ้ำได้ หากหนึ่งคนได้มากกว่า 1 รางวัล) (เฉพาะสถาบันที่เน้นการผลิตบัณฑิตและวิจัย)</t>
  </si>
  <si>
    <t>2.44) จำนวนศิษย์เก่าที่สำเร็จการศึกษาในรอบ 5 ปีที่ผ่านมาทั้งหมดทุกระดับการศึกษา</t>
  </si>
  <si>
    <t>3.1) ผลการประเมินคุณภาพการให้บริการนักศึกษา (เทียบจากค่า 5 ระดับ)</t>
  </si>
  <si>
    <t>3.2) จำนวนนักศึกษาทั้งหมดที่เข้าร่วมโครงการกิจกรรมนักศึกษา (สมศ.)</t>
  </si>
  <si>
    <t>3.3) จำนวนโครงการกิจกรรมนักศึกษาแยกตามประเภทกิจกรรม</t>
  </si>
  <si>
    <t xml:space="preserve">      - จำนวนกิจกรรมวิชาการ</t>
  </si>
  <si>
    <t xml:space="preserve">      - จำนวนนักศึกษาที่เข้าร่วมทุกกิจกรรม</t>
  </si>
  <si>
    <t xml:space="preserve">      - จำนวนกิจกรรมกีฬาและการส่งเสริมสุขภาพ</t>
  </si>
  <si>
    <t xml:space="preserve">      - จำนวนกิจกรรมบำเพ็ญประโยชน์และรักษาสิ่งแวดล้อม</t>
  </si>
  <si>
    <t xml:space="preserve">      - จำนวนกิจกรรมนันทนาการ</t>
  </si>
  <si>
    <t xml:space="preserve">      - จำนวนกิจกรรมส่งเสริมศิลปวัฒนธรรม</t>
  </si>
  <si>
    <t>4.1) จำนวนเงินสนับสนุนการวิจัยและงานสร้างสรรค์ของอาจารย์และนักวิจัยประจำที่ปฏิบัติงานจริง</t>
  </si>
  <si>
    <t>มาตรฐานการอุดมศึกษา</t>
  </si>
  <si>
    <t>มาตรฐานที่ 1</t>
  </si>
  <si>
    <t>มาตรฐานที่ 2 ก</t>
  </si>
  <si>
    <t xml:space="preserve">   ตัวบ่งชี้ที 7.5</t>
  </si>
  <si>
    <t>มาตรฐานที่ 2 ข</t>
  </si>
  <si>
    <t xml:space="preserve">   ตัวบ่งชี้ที่ 2.5</t>
  </si>
  <si>
    <t xml:space="preserve">   ตัวบ่งชี้ที่ 2.6</t>
  </si>
  <si>
    <t>1. มีการกำหนดแนวทางการดำเนินการในการประเมินผลภายในสถาบัน</t>
  </si>
  <si>
    <t>2. มีแผนงานการประเมินผลภายในสถาบัน</t>
  </si>
  <si>
    <t xml:space="preserve">3. มีการกำหนดตัวบ่งชี้และเป้าหมายตามพันธกิจและยุทธศาสตร์ของสถาบัน </t>
  </si>
  <si>
    <t>กลุ่มสาขา
วิทยาศาสตร์</t>
  </si>
  <si>
    <t>กลุ่มสาขา
มนุษยฯ</t>
  </si>
  <si>
    <t>4. มีการจัดทำ Strategy Map ของหน่วยงานในระดับคณะหรือเทียบเท่า  โดยกำหนดเป้าประสงค์ของแต่ละประเด็นยุทธศาสตร์ที่เกี่ยวข้องกับหน่วยงานให้เชื่อมโยงกับเป้าประสงค์และประเด็นยุทธศาสตร์ของสถาบัน</t>
  </si>
  <si>
    <t>5. มีการยืนยันวิสัยทัศน์และประเด็นยุทธศาสตร์ของสถาบันอุดมศึกษาในระดับคณะหรือเทียบเท่า</t>
  </si>
  <si>
    <t xml:space="preserve">6. มีระบบในการติดตามผลการดำเนินงานตามตัวบ่งชี้และเป้าหมายตามคำรับรองของผู้บริหารระดับต่างๆ </t>
  </si>
  <si>
    <t>7. มีการประเมินผลการดำเนินงานตามตัวบ่งชี้และเป้าหมายตามคำรับรอง</t>
  </si>
  <si>
    <t>8. มีการนำผลการประเมินผลการดำเนินงานของผู้บริหารไปเชื่อมโยงกับระบบการสร้างแรงจูงใจ</t>
  </si>
  <si>
    <t>หัวหน้าภาควิชาและคณบดีนำความเห็นของคณะกรรมการวิชาการ ความคิดเห็นของอาจารย์ และความคิดเห็นของนักศึกษาโดยเฉพาะจากรายงานของนักศึกษาในวิชาสหกิจศึกษามาพิจารณาปรับปรุงหลักสูตร</t>
  </si>
  <si>
    <t>มีการสำรวจความคิดเห็นของนักศึกษาที่มีต่อการสอนของอาจารย์ทั้งกลางภาคและปลายภาค และมีการจัดเก็บข้อมูลคะแนนความคิดเห็นที่มีต่อการสอนของอาจารย์เป็นรายบุคคล รายคณะวิชาเพื่อดูแนวโน้ม</t>
  </si>
  <si>
    <t>o</t>
  </si>
  <si>
    <t xml:space="preserve">1 = ผู้ดำรงตำแหน่งระดับ ผศ. รศ. และ ศ. รวมกันอยู่ระหว่างร้อยละ 1 - 39  หรือ  ผู้ดำรงตำแหน่งระดับ ผศ. รศ.และ ศ. รวมกันอยู่ระหว่างร้อยละ 40 - 59 แต่ ผู้ดำรงตำแหน่งระดับรศ. ขึ้นไปน้อยกว่าร้อยละ 10
2 = ผู้ดำรงตำแหน่งระดับ ผศ. รศ. และ ศ. รวมกันอยู่ระหว่างร้อยละ 40 – 59 และผู้ดำรงตำแหน่งระดับ รศ. ขึ้นไปเท่ากับหรือมากกว่าร้อยละ 10  หรือ ผู้ดำรงตำแหน่งระดับ ผศ. รศ. และ ศ. รวมกันมากกว่าหรือเท่ากับร้อยละ 60 และผู้ดำรงตำแหน่งระดับ รศ. ขึ้นไปน้อยกว่าร้อยละ 10
3 = ผู้ดำรงตำแหน่งระดับ ผศ. รศ. และ ศ. รวมกันมากกว่าหรือเท่ากับร้อยละ 60 และผู้ดำรงตำแหน่ง ระดับ รศ.ขึ้นไปเท่ากับหรือมากกว่าร้อยละ 10 </t>
  </si>
  <si>
    <t>2.15) จำนวนอาจารย์ประจำทั้งหมดวุฒิปริญญาเอกหรือเทียบเท่า</t>
  </si>
  <si>
    <t>2.16) จำนวนอาจารย์ประจำทั้งหมดที่ไม่มีตำแหน่งทางวิชาการ</t>
  </si>
  <si>
    <t>2.17) จำนวนอาจารย์ประจำทั้งหมดที่มีตำแหน่งผู้ช่วยศาสตราจารย์</t>
  </si>
  <si>
    <t>2.18) จำนวนอาจารย์ประจำทั้งหมดที่มีตำแหน่งรองศาสตราจารย์</t>
  </si>
  <si>
    <t>2.19) จำนวนอาจารย์ประจำทั้งหมดที่มีตำแหน่งศาสตราจารย์</t>
  </si>
  <si>
    <t>2.20) จำนวนอาจารย์ประจำที่ปฏิบัติงานจริงระดับบัณฑิตศึกษาที่มีคุณสมบัติครบถ้วนที่จะเป็นอาจารย์ที่ปรึกษาวิทยานิพนธ์ (เฉพาะสถาบันที่เน้นการผลิตบัณฑิตและวิจัย)</t>
  </si>
  <si>
    <t>2.21) จำนวนอาจารย์ประจำที่ปฏิบัติงานจริงระดับบัณฑิตศึกษาที่ทำหน้าที่เป็นที่ปรึกษาวิทยานิพนธ์ (เฉพาะสถาบันที่เน้นการผลิตบัณฑิตและวิจัย)</t>
  </si>
  <si>
    <t xml:space="preserve">1.  หลักสูตรใหม่ หรือหลักสูตรที่ขอปรับปรุงต้องได้รับอนุมัติจากสภามหาวิทยาลัยทุกหลักสูตร
</t>
  </si>
  <si>
    <t>ระดับปริญญาตรี</t>
  </si>
  <si>
    <t xml:space="preserve">     1.1 หลักสูตรบริหารธุรกิจบัณฑิต  สาขาวิชาการเงิน</t>
  </si>
  <si>
    <t xml:space="preserve">     1.2 หลักสูตรบริหารธุรกิจบัณฑิต  สาขาวิชาการบริหารทรัพยากรมนุษย์</t>
  </si>
  <si>
    <t xml:space="preserve">     1.3 หลักสูตรบริหารธุรกิจบัณฑิต  สาขาวิชาการตลาด</t>
  </si>
  <si>
    <t xml:space="preserve">     1.4 หลักสูตรบริหารธุรกิจบัณฑิต  สาขาวิชาการจัดการ</t>
  </si>
  <si>
    <t xml:space="preserve">     1.5 หลักสูตรบริหารธุรกิจบัณฑิต  สาขาวิชาการบริหารสำนักงาน</t>
  </si>
  <si>
    <t xml:space="preserve">     1.6 หลักสูตรบริหารธุรกิจบัณฑิต  สาขาวิชาธุรกิจระหว่างประเทศ</t>
  </si>
  <si>
    <t xml:space="preserve">     1.7 หลักสูตรบริหารธุรกิจบัณฑิต  สาขาวิชาการบริหารอุตสาหกรรม</t>
  </si>
  <si>
    <t xml:space="preserve">           หลักสูตรบัญชีบัณฑิต  สาขาวิชาการบัญชี</t>
  </si>
  <si>
    <t xml:space="preserve">     6.1 หลักสูตรนิเทศศาสตรบัณฑิต  สาขาวิชาการโฆษณา</t>
  </si>
  <si>
    <t xml:space="preserve">     6.2 หลักสูตรนิเทศศาสตรบัณฑิต  สาขาวิชาการประชาสัมพันธ์</t>
  </si>
  <si>
    <t xml:space="preserve">     6.3 หลักสูตรนิเทศศาสตรบัณฑิต  สาขาวิชาวิทยุกระจายเสียงและโทรทัศน์</t>
  </si>
  <si>
    <t>7. ผู้บริหารระดับสูงมีการติดตามผลการใช้เงินให้เป็นไปตามเป้าหมาย และนำข้อมูลจากรายงานทางการเงินไปใช้ในการวางแผนและการตัดสินใจ</t>
  </si>
  <si>
    <t>1. มีคณะกรรมการวิเคราะห์ความต้องการการใช้ทรัพยากรของสถาบัน</t>
  </si>
  <si>
    <t xml:space="preserve">2. มีผลการวิเคราะห์ความต้องการในการใช้ทรัพยากรของสถาบัน
</t>
  </si>
  <si>
    <t xml:space="preserve">3. มีแผนการใช้ทรัพยากรร่วมกันกับหน่วยงานอื่นในสถาบัน
</t>
  </si>
  <si>
    <t>ระดับความพึงพอใจของผู้รับบริการ</t>
  </si>
  <si>
    <t>- คู่มือการประกันคุณภาพการศึกษาภายใน มหาวิทยาลัยธุรกิจบัณฑิตย์ (ปีการศึกษา 2551)
- แผนพัฒนามหาวิทยาลัย ปีการศึกษา 2551-2555</t>
  </si>
  <si>
    <t xml:space="preserve">4.4 ร้อยละของงานวิจัยและงานสร้างสรรค์ที่ตีพิมพ์เผยแพร่ ได้รับการจดทะเบียนทรัพย์สินทางปัญญาหรืออนุสิทธิบัตร  หรือนำไปใช้ประโยชน์ทั้งในระดับชาติและในระดับนานาชาติต่อจำนวนอาจารย์ประจำ
</t>
  </si>
  <si>
    <t>1 = ร้อยละ 1 - ร้อยละ 19
2 = ร้อยละ 20 – ร้อยละ 29
3 = มากกว่าหรือเท่ากับร้อยละ 30</t>
  </si>
  <si>
    <t>องค์ประกอบที่ 5   การบริการทางวิชาการแก่สังคม</t>
  </si>
  <si>
    <t>เฉลี่ยคะแนนด้านกระบวนการภายใน</t>
  </si>
  <si>
    <t>3. ด้านการเงิน</t>
  </si>
  <si>
    <t>5.1 มีระบบและกลไกในการบริการทางวิชาการแก่สังคมตามเป้าหมายของสถาบัน</t>
  </si>
  <si>
    <t>5.2 ร้อยละของอาจารย์ประจำที่มีส่วนร่วมในการให้บริการทางวิชาการแก่สังคม เป็นที่ปรึกษา เป็นกรรมการวิทยานิพนธ์ภายนอกสถาบัน เป็นกรรมการวิชาการ กรรมการวิชาชีพในระดับชาติหรือระดับนานาชาติต่ออาจารย์ประจำ</t>
  </si>
  <si>
    <t xml:space="preserve">1 = อยู่ระหว่างร้อยละ 1 - ร้อยละ 24
2 = ร้อยละ 25 - ร้อยละ 34
3 = มากกว่าหรือเท่ากับร้อยละ 35
</t>
  </si>
  <si>
    <t>อาจารย์และนักวิจัยที่ปฏิบัติงานจริง</t>
  </si>
  <si>
    <t xml:space="preserve">         อาจารย์ประจำทั้งหมด </t>
  </si>
  <si>
    <t>4.4) จำนวนบทความวิจัยที่ได้รับอ้างอิงใน refereed journal หรือในฐานข้อมูลระดับชาติและ /หรือนานาชาติ (เฉพาะสถาบันที่เน้นการผลิตบัณฑิตและวิจัย)</t>
  </si>
  <si>
    <t>4.6) จำนวนบทความจากวิทยานิพนธ์ที่ได้รับการตีพิมพ์เผยแพร่ (สมศ.)</t>
  </si>
  <si>
    <t>คณะ
บริหารธุรกิจ</t>
  </si>
  <si>
    <t>คณะ
การบัญชี</t>
  </si>
  <si>
    <t>กลุ่มสาขา
สังคมฯ</t>
  </si>
  <si>
    <t>คณะ
ศิลปศาสตร์ฯ</t>
  </si>
  <si>
    <t>คณะ
นิติศาสตร์</t>
  </si>
  <si>
    <t>คณะ
นิเทศศาสตร์</t>
  </si>
  <si>
    <t>บัณฑิต
วิทยาลัย</t>
  </si>
  <si>
    <t>สถาบันภาษา</t>
  </si>
  <si>
    <t>DPUIC</t>
  </si>
  <si>
    <t>คณะ
ศิลปกรรมฯ</t>
  </si>
  <si>
    <t>กลุ่มสาขา
วิศวกรรม</t>
  </si>
  <si>
    <t>คณะ
วิศวกรรม</t>
  </si>
  <si>
    <t>คณะ
เทคโนโลยีฯ</t>
  </si>
  <si>
    <t xml:space="preserve">มหาวิทยาลัยได้กำหนดจรรยาบรรณวิชาชีพคณาจารย์ไว้เป็นลายลักษณ์อักษรตั้งแต่ปีการศึกษา 2548 ในการกำหนดจรรยาบรรณให้ผู้มีส่วนได้เสียได้ร่วมให้ความคิดเห็น ได้แก่ ผู้บริหาร (ที่ประชุมกรรมการวิชาการ) บุคลากร นักศึกษา และบุคคลภายนอก (ผ่านอินเทอร์เน็ต) 
</t>
  </si>
  <si>
    <t>จรรยาบรรณของอาจารย์ในเว็บไซต์สำนักวิชาการ</t>
  </si>
  <si>
    <t>7. มีการประเมินสัมฤทธิผลและนำผลการประเมินไปพิจารณาปรับปรุงความเชื่อมโยงและบูรณาการระหว่างการบริการทางวิชาการแก่สังคมกับภารกิจอื่นๆ ของสถาบัน</t>
  </si>
  <si>
    <t>1. มีการกำหนดนโยบายที่ชัดเจนปฏิบัติได้ และมีแผนงานรองรับ</t>
  </si>
  <si>
    <t>2. มีการกำหนดกิจกรรมหรือโครงการที่เป็นประโยชน์สอดคล้องกับแผนงาน และมีการดำเนินกิจกรรมอย่างต่อเนื่อง</t>
  </si>
  <si>
    <t>3. มีการบูรณาการงานด้านทำนุบำรุงศิลปวัฒนธรรมกับภารกิจด้านอื่นๆ</t>
  </si>
  <si>
    <t xml:space="preserve">4. มีการส่งเสริมการดำเนินงานด้านศิลปวัฒนธรรมทั้งในระดับชาติและนานาชาติ  อาทิ การจัดทำฐานข้อมูลด้านศิลปวัฒนธรรม การสร้างบรรยากาศศิลปะและวัฒนธรรม  การจัดกิจกรรม ประชุม เสวนาทางวิชาการ  การจัดสรรงบประมาณสนับสนุนอย่างพอเพียงและต่อเนื่อง </t>
  </si>
  <si>
    <t>5. มีการกำหนดหรือสร้างมาตรฐานด้านศิลปวัฒนธรรมโดยผู้เชี่ยวชาญ และมีผลงานเป็นที่ยอมรับในระดับชาติหรือนานาชาติ</t>
  </si>
  <si>
    <t xml:space="preserve">2. มีระบบและกลไกในการบริหารทรัพยากรบุคคลที่เป็นการส่งเสริมสมรรถนะในการปฏิบัติงาน  </t>
  </si>
  <si>
    <t xml:space="preserve">1. ร้อยละของจำนวนนักศึกษาที่ได้คะแนนประเมินผลการฝึกงานไม่ต่ำกว่า 3.00 ต่อจำนวนนักศึกษาที่ฝึกงานทั้งหมดในแต่ละภาคการศึกษา
</t>
  </si>
  <si>
    <t xml:space="preserve">    -  จำนวนหลักสูตรที่ปรับปรุงในระยะเวลาไม่เกิน 3 ปี 
</t>
  </si>
  <si>
    <t>ค่าเป้าหมาย</t>
  </si>
  <si>
    <r>
      <t>ความแตกต่างจากค่าเป้าหมาย</t>
    </r>
    <r>
      <rPr>
        <b/>
        <sz val="15"/>
        <rFont val="Browallia New"/>
        <family val="2"/>
      </rPr>
      <t xml:space="preserve">
</t>
    </r>
    <r>
      <rPr>
        <b/>
        <u/>
        <sz val="11"/>
        <rFont val="Browallia New"/>
        <family val="2"/>
      </rPr>
      <t>(ผลการดำเนินงาน – ค่าเป้าหมาย)</t>
    </r>
    <r>
      <rPr>
        <b/>
        <sz val="11"/>
        <rFont val="Browallia New"/>
        <family val="2"/>
      </rPr>
      <t xml:space="preserve"> X 100
  ค่าเป้าหมาย</t>
    </r>
  </si>
  <si>
    <t xml:space="preserve">คะแนน 
</t>
  </si>
  <si>
    <t>ตัวตั้ง</t>
  </si>
  <si>
    <t>ตัวหาร</t>
  </si>
  <si>
    <t>ผล</t>
  </si>
  <si>
    <t>0 = ต่ำกว่าค่าเป้าหมายมากกว่าร้อยละ 8
1 = ต่ำกว่าค่าเป้าหมายมากกว่าร้อยละ 5 แต่ไม่เกินร้อยละ 8
2 = ต่ำกว่าค่าเป้าหมายไม่เกินร้อยละ 5  
3 = เท่ากับหรือดีกว่าค่าเป้าหมาย</t>
  </si>
  <si>
    <r>
      <t xml:space="preserve">ร้อยละของจำนวนนักศึกษาปีที่ 1 ที่ออกกลางคันต่อจำนวนนักศึกษาที่เข้าในรุ่น *
</t>
    </r>
    <r>
      <rPr>
        <sz val="12"/>
        <color indexed="10"/>
        <rFont val="Browallia New"/>
        <family val="2"/>
      </rPr>
      <t xml:space="preserve">หมายเหตุ เป็นตัวบ่งชี้ที่แปลผลตรงข้าม คือ ผลการดำเนินงานยิ่งต่ำกว่าค่าเป้าหมายยิ่งดี </t>
    </r>
  </si>
  <si>
    <t>คะแนนเฉลี่ยสะสม (GPA) เฉลี่ยของนักศึกษาทั้งหมด</t>
  </si>
  <si>
    <t>ร้อยละของจำนวนอาจารย์ที่ได้รับรองคุณภาพการสอน</t>
  </si>
  <si>
    <t>ร้อยละของอาจารย์ที่มี website ของตนเองเพื่อการเรียนการสอน</t>
  </si>
  <si>
    <t>คะแนนเฉลี่ยสะสม (GPA) เฉลี่ยของนักศึกษา โครงการบัณฑิตเกียรตินิยมเมื่อสำเร็จการศึกษา</t>
  </si>
  <si>
    <t>ระดับรายได้เริ่มต้นเฉลี่ยของนักศึกษาโครงการบัณฑิตเกียรตินิยม</t>
  </si>
  <si>
    <t>ร้อยละของเวลาที่ใช้ในการเรียนรู้นอกห้องเรียนของนักศึกษาต่อเวลาเรียนทั้งหมดของทุกวิชา</t>
  </si>
  <si>
    <t>ร้อยละของนักศึกษาที่ผ่านการอบรมบุคลิกภาพ</t>
  </si>
  <si>
    <t>ร้อยละของผู้สำเร็จการศึกษาที่เข้ารับการประเมินทั้ง 3 ทักษะ (ภาษาอังกฤษ เทคโนโลยีสารสนเทศ และธุรกิจ)</t>
  </si>
  <si>
    <t>ร้อยละของจำนวนนักศึกษาที่ศึกษาวิชาสหกิจศึกษาต่อจำนวนนักศึกษาทั้งหมดในรุ่นของหลักสูตรที่มีวิชาสหกิจศึกษา (หรือฝึกงาน)</t>
  </si>
  <si>
    <t>ผลการประเมินการปฏิบัติงานจากสถานประกอบการ (คะแนนเต็ม 100)</t>
  </si>
  <si>
    <t>ร้อยละของงานวิจัยเพื่อการเรียนการสอนต่อจำนวนอาจารย์</t>
  </si>
  <si>
    <t>ร้อยละของจำนวนกิจกรรมที่มีการบูรณาการระหว่างการบริการวิชาการ การเรียน การสอนและการวิจัยต่อจำนวนกิจกรรมการบริการวิชาการทั้งหมด</t>
  </si>
  <si>
    <r>
      <t xml:space="preserve">จำนวนนักศึกษาที่เข้าร่วมโครงการแลกเปลี่ยนนักศึกษาและเข้าร่วมโครงการที่มีประสบการณ์ในต่างประเทศ *
</t>
    </r>
    <r>
      <rPr>
        <sz val="12"/>
        <color indexed="10"/>
        <rFont val="Browallia New"/>
        <family val="2"/>
      </rPr>
      <t>หมายเหตุ เนื่องจากผลการดำเนินงานเป็นจำนวน แต่ละคณะต้องปรับค่าเป้าหมายโดยคิดตามสัดส่วนของจำนวนนักศึกษาของคณะต่อนักศึกษาทั้งหมด</t>
    </r>
  </si>
  <si>
    <r>
      <t>จำนวนนักศึกษาต่างประเทศที่มาในโครงการแลกเปลี่ยนและนักศึกษาต่างประเทศที่มารับบริการวิชาการของมหาวิทยาลัย *</t>
    </r>
    <r>
      <rPr>
        <sz val="15"/>
        <color indexed="10"/>
        <rFont val="Browallia New"/>
        <family val="2"/>
      </rPr>
      <t xml:space="preserve">
</t>
    </r>
    <r>
      <rPr>
        <sz val="12"/>
        <color indexed="10"/>
        <rFont val="Browallia New"/>
        <family val="2"/>
      </rPr>
      <t>หมายเหตุ เนื่องจากผลการดำเนินงานเป็นจำนวน แต่ละคณะต้องปรับค่าเป้าหมายโดยคิดตามสัดส่วนของจำนวนนักศึกษาของคณะต่อนักศึกษาทั้งหมด</t>
    </r>
  </si>
  <si>
    <t>ร้อยละของจำนวนวิชาที่จัดการเรียนการสอนผ่าน Internet (E-Learning) ต่อวิชาที่เปิดสอน</t>
  </si>
  <si>
    <r>
      <t xml:space="preserve">จำนวนรายวิชาที่มีโครงงานที่เกี่ยวข้องกับเรื่องวัฒนธรรม *
</t>
    </r>
    <r>
      <rPr>
        <sz val="12"/>
        <color indexed="10"/>
        <rFont val="Browallia New"/>
        <family val="2"/>
      </rPr>
      <t>หมายเหตุ คณะละ 1 รายวิชา</t>
    </r>
  </si>
  <si>
    <t>มีแผนพัฒนาคณาจารย์และบุคลากรประจำปี</t>
  </si>
  <si>
    <t>มี</t>
  </si>
  <si>
    <t xml:space="preserve">รวมคะแนน  </t>
  </si>
  <si>
    <t>จำนวนตัวบ่งชี้ที่ประเมิน</t>
  </si>
  <si>
    <t>คะแนนเฉลี่ย</t>
  </si>
  <si>
    <t>ตัวบ่งชี้พิเศษ</t>
  </si>
  <si>
    <r>
      <t xml:space="preserve">จำนวนหลักสูตรที่สอนสองภาษา *
</t>
    </r>
    <r>
      <rPr>
        <sz val="12"/>
        <color indexed="10"/>
        <rFont val="Browallia New"/>
        <family val="2"/>
      </rPr>
      <t>หมายเหตุ เป็นตัวบ่งชี้คะแนนพิเศษ 2 คะแนน (ถ้ามีผลการดำเนินงานจะบวกเพิ่มอีก 2 คะแนนจากคะแนนที่ได้จริงแล้วจึงหาค่าเฉลี่ย)</t>
    </r>
  </si>
  <si>
    <r>
      <t xml:space="preserve">จำนวนรายวิชาเลือกเสรีทางด้านศิลปะและวัฒนธรรม *
</t>
    </r>
    <r>
      <rPr>
        <sz val="12"/>
        <color indexed="10"/>
        <rFont val="Browallia New"/>
        <family val="2"/>
      </rPr>
      <t xml:space="preserve">หมายเหตุ เป็นตัวบ่งชี้เฉพาะคณะศิลปกรรมศาสตร์  </t>
    </r>
  </si>
  <si>
    <t>รวมคะแนนพิเศษ</t>
  </si>
  <si>
    <t>รวมคะแนนทั้งหมด</t>
  </si>
  <si>
    <r>
      <t xml:space="preserve">จำนวนตัวบ่งชี้ทั้งหมดที่ประเมิน </t>
    </r>
    <r>
      <rPr>
        <b/>
        <sz val="11"/>
        <rFont val="Browallia New"/>
        <family val="2"/>
      </rPr>
      <t>(ไม่นับตัวบ่งชี้พิเศษ ข้อ 1 หลักสูตรสองภาษา)</t>
    </r>
  </si>
  <si>
    <t xml:space="preserve">ค่าเฉลี่ยของคะแนนรวมทั้งหมด
</t>
  </si>
  <si>
    <t>2. มีการดำเนินการตามแผนจัดการความรู้และประสบความสำเร็จตามเป้าหมายไม่น้อยกว่า ร้อยละ 50</t>
  </si>
  <si>
    <t>3. มีการดำเนินการตามแผนจัดการความรู้และประสบความสำเร็จตามเป้าหมายร้อยละ 100</t>
  </si>
  <si>
    <t>1 = ร้อยละ 65 - ร้อยละ 74                     หรือหากผลคำนวณได้ 1.51-2.50 
2 = ร้อยละ 75 - ร้อยละ 84                     หรือหากผลคำนวณได้ 2.51-3.50
3 = มากกว่าหรือเท่ากับร้อยละ 85            หรือหากผลคำนวณได้ 3.51 ขึ้นไป</t>
  </si>
  <si>
    <t>8.8) ค่าใช้จ่ายที่ใช้ในระบบห้องสมุด คอมพิวเตอร์ และศูนย์สารสนเทศ (สมศ.)</t>
  </si>
  <si>
    <t>8.9) เงินเหลือจ่ายสุทธิ (สมศ.)</t>
  </si>
  <si>
    <t>8.10) สินทรัพย์ถาวร (สมศ.)</t>
  </si>
  <si>
    <t>5. มีผลการประหยัดงบประมาณที่เกิดจากการใช้ทรัพยากรร่วมกับหน่วยงานอื่น</t>
  </si>
  <si>
    <t>1. มีระบบและกลไกการประกันคุณภาพการศึกษาภายในที่เหมาะสมกับระดับการพัฒนาของสถาบัน</t>
  </si>
  <si>
    <t>5. มีระบบสร้างขวัญและกำลังใจและยกย่องนักวิจัยที่มีผลงานวิจัยและงานสร้างสรรค์ดีเด่น</t>
  </si>
  <si>
    <t xml:space="preserve">             · แผน ข</t>
  </si>
  <si>
    <t xml:space="preserve">      - ระดับปริญญาเอก</t>
  </si>
  <si>
    <t>หมายเหตุ</t>
  </si>
  <si>
    <t xml:space="preserve">ระดับสถาบัน เป็นค่าเฉลี่ยในระดับสถาบันจากรายงานการสำรวจความพึงพอใจของนายจ้าง ของศูนย์วิจัย
</t>
  </si>
  <si>
    <t>7.1 สภาสถาบันใช้หลักธรรมาภิบาลในการบริหารจัดการและสามารถผลักดันสถาบันให้แข่งขันได้ในระดับสากล</t>
  </si>
  <si>
    <t>7.2 ภาวะผู้นำของผู้บริหารทุกระดับของสถาบัน</t>
  </si>
  <si>
    <t xml:space="preserve">7.3 มีการพัฒนาสถาบันสู่องค์การเรียนรู้ </t>
  </si>
  <si>
    <t>7.4 มีระบบและกลไกในการบริหารทรัพยากรบุคคลเพื่อพัฒนาและธำรงรักษาไว้ให้บุคลากรมีคุณภาพและประสิทธิภาพ</t>
  </si>
  <si>
    <t>1 = มีการดำเนินการไม่ครบ 3 ข้อแรก
2 = มีการดำเนินการ 3 – 4 ข้อแรก
3 = มีการดำเนินการอย่างน้อย 5 ข้อแรก</t>
  </si>
  <si>
    <t>7.5 ศักยภาพของระบบฐานข้อมูลเพื่อการบริหาร การเรียนการสอน และการวิจัย</t>
  </si>
  <si>
    <t>1 = มีการดำเนินการไม่ครบ 2 ข้อแรก
2 = มีการดำเนินการ 2 ข้อแรก
3 = มีการดำเนินการอย่างน้อย 3 ข้อแรก</t>
  </si>
  <si>
    <t>6.2) จำนวนผลงานหรือชิ้นงานการพัฒนาองค์ความรู้และสร้างมาตรฐานศิลปวัฒนธรรม (เฉพาะสถาบันที่เน้นการผลิตบัณฑิตและศิลปวัฒนธรรม)</t>
  </si>
  <si>
    <t>องค์ประกอบที่ 1  ปรัชญา ปณิธาน วัตถุประสงค์  และแผนดำเนินการ</t>
  </si>
  <si>
    <t>1 = มีการดำเนินการไม่ครบ 5 ข้อแรก
2 = มีการดำเนินการ 5 - 6 ข้อแรก
3 = มีการดำเนินการครบทุกข้อ</t>
  </si>
  <si>
    <t>เป้าหมาย</t>
  </si>
  <si>
    <t>ผลการดำเนินงาน</t>
  </si>
  <si>
    <t xml:space="preserve">1.1    มีการกำหนดปรัชญาหรือปณิธาน ตลอดจนมีกระบวนการพัฒนากลยุทธ์ แผนดำเนินงานและมีการกำหนดตัวบ่งชี้เพื่อวัดความสำเร็จของการดำเนินงานตามแผนให้ครบทุกภารกิจ
</t>
  </si>
  <si>
    <t>เอกสารอ้างอิง</t>
  </si>
  <si>
    <t xml:space="preserve">1.2 ร้อยละของการบรรลุเป้าหมายตามตัวบ่งชี้ของการปฏิบัติงานที่กำหนด
</t>
  </si>
  <si>
    <t>1 = ร้อยละ 60 - 74
2 = ร้อยละ 75 - 89
3 = ร้อยละ 90 - 100</t>
  </si>
  <si>
    <t>คะแนนที่ได้</t>
  </si>
  <si>
    <t>จำนวนตัวบ่งชี้ที่กำหนด</t>
  </si>
  <si>
    <t xml:space="preserve"> องค์ประกอบที่ 2  การเรียนการสอน</t>
  </si>
  <si>
    <t xml:space="preserve"> 2.1 มีระบบและกลไกการพัฒนาและบริหารหลักสูตร</t>
  </si>
  <si>
    <t>2.2 มีกระบวนการเรียนรู้ที่เน้นผู้เรียนเป็นสำคัญ</t>
  </si>
  <si>
    <t>2.3 มีโครงการหรือกิจกรรมที่สนับสนุนการพัฒนาหลักสูตรและการเรียนการสอนซึ่งบุคคล  องค์กร และชุมชนภายนอกมีส่วนร่วม</t>
  </si>
  <si>
    <r>
      <t xml:space="preserve">ร้อยละของจำนวนนักศึกษาต่างชาติต่อจำนวนนักศึกษาในหลักสูตรนานาชาติทั้งหมด*
</t>
    </r>
    <r>
      <rPr>
        <sz val="12"/>
        <color indexed="10"/>
        <rFont val="Browallia New"/>
        <family val="2"/>
      </rPr>
      <t xml:space="preserve">หมายเหตุ เป็นตัวบ่งชี้เฉพาะวิทยาลัยนานาชาติ  </t>
    </r>
  </si>
  <si>
    <t>6.1) จำนวนโครงการ/กิจกรรมอนุรักษ์ พัฒนา และสร้างเสริมศิลปวัฒนธรรม (สมศ.)</t>
  </si>
  <si>
    <t>8.2) รายรับจากการบริการวิชาการและวิชาชีพในนามสถาบัน (สมศ.)</t>
  </si>
  <si>
    <t>8.3) ค่าใช้จ่ายทั้งหมดของสถาบันโดยไม่รวมครุภัณฑ์  อาคารสถานที่ และที่ดิน (สมศ.)</t>
  </si>
  <si>
    <t>8.4) ค่าใช้จ่ายด้านครุภัณฑ์ อาคาร สถานที่และที่ดิน (สมศ.)</t>
  </si>
  <si>
    <t>8.5) ค่าใช้จ่ายและมูลค่าในการบริการวิชาการและวิชาชีพเพื่อสังคม (สมศ.)</t>
  </si>
  <si>
    <t>8.6) ค่าใช้จ่ายและมูลค่าในการทำนุบำรุงศิลปวัฒนธรรม (สมศ.)</t>
  </si>
  <si>
    <t xml:space="preserve">           ภาพรวม ปี 2549
</t>
  </si>
  <si>
    <t>3.  หลักสูตรนิติศาสตรมหาบัณฑิต  สาขาวิชานิติศาสตร์</t>
  </si>
  <si>
    <t>4.  หลักสูตรนิเทศศาสตรมหาบัณฑิต  สาขาวิชานิเทศศาสตร์</t>
  </si>
  <si>
    <t>5.  หลักสูตรรัฐประศาสนศาสตรมหาบัณฑิต  สาขาวิชารัฐประศาสนศาสตร์</t>
  </si>
  <si>
    <t>4. มีการนำผลการประเมินไปใช้ในการปรับปรุงการดำเนินงานของหน่วยงานอย่างต่อเนื่อง</t>
  </si>
  <si>
    <t xml:space="preserve">5. มีนวัตกรรมด้านการประกันคุณภาพที่หน่วยงานพัฒนาขึ้น หรือมีการจัดทำแนวปฏิบัติที่ดี เพื่อการเป็นแหล่งอ้างอิงให้กับหน่วยงานและสถาบันอื่นๆ </t>
  </si>
  <si>
    <t xml:space="preserve">4. มีการจัดการเรียนการสอนที่มีความยืดหยุ่นและหลากหลายที่จะสนองตอบต่อความต้องการของผู้เรียน
</t>
  </si>
  <si>
    <t xml:space="preserve">5. มีการประเมินผลการเรียนการสอนที่สอดคล้องกับสภาพการเรียนรู้ที่จัดให้ผู้เรียนและอิงพัฒนาการของผู้เรียนทุกหลักสูตร
</t>
  </si>
  <si>
    <t xml:space="preserve">3. มีการเตรียมความพร้อมก่อนการเปิดหลักสูตรใหม่และการปรับปรุงหลักสูตรให้เป็นไปตามเกณฑ์มาตรฐานหลักสูตรทุกเรื่อง
</t>
  </si>
  <si>
    <t xml:space="preserve">      - จำนวนนักศึกษาเต็มเวลาเทียบเท่า (ภาคพิเศษ)</t>
  </si>
  <si>
    <t>2.10) จำนวนอาจารย์ประจำทั้งหมด</t>
  </si>
  <si>
    <t>2.11) จำนวนอาจารย์ประจำที่ลาศึกษาต่อ</t>
  </si>
  <si>
    <t>2.12) จำนวนอาจารย์ประจำที่ปฏิบัติงานจริง</t>
  </si>
  <si>
    <t>6.  หลักสูตรศึกษาศาสตรมหาบัณฑิต  สาขาวิชาการจัดการการศึกษา</t>
  </si>
  <si>
    <t>7.  หลักสูตรวิทยาศาสตรมหาบัณฑิต  สาขาวิชาเทคโนโลยีสารสนเทศ</t>
  </si>
  <si>
    <t>8.  หลักสูตรวิทยาศาสตรมหาบัณฑิต  สาขาวิชาการจัดการทางวิศวกรรม</t>
  </si>
  <si>
    <t>1. มีการกำหนดปรัชญาหรือปณิธาน</t>
  </si>
  <si>
    <t>- แบบฟอร์มตัวบ่งชี้ 2.12
- ข้อมูลของคณะวิชาต่างๆ</t>
  </si>
  <si>
    <t xml:space="preserve">- รายงานคณะกรรมการบุคคล
- ระเบียบการบริหารงานบุคคล
- หลักฐานที่แผนกสวัสดิการ ฝ่ายทรัพยากรบุคคล
</t>
  </si>
  <si>
    <t>มีการกำหนดสมรรถนะของบุคลากรแต่ละตำแหน่ง มีการประเมินผลงานบุคลากรทุกระดับ มีการพัฒนาบุคลากรในด้านต่างๆ โดยมีการจัดสรรงบประมาณส่วนกลางสำหรับการพัฒนาบุคลากรและมีโครงการฝึกอบรมบุคลากรประจำปี</t>
  </si>
  <si>
    <t xml:space="preserve">- เอกสารกำหนดสมรรถนะของตำแหน่งต่างๆ
- รายงานการประชุมคณะกรรมการบุคคล
-  เอกสารการปฏิบัติงานของฝ่ายทรัพยากรบุคคล
 </t>
  </si>
  <si>
    <t>-  เอกสารการประเมินผลการปฏิบัติงาน
-  โครงการฝึกอบรมอาจารย์และพนักงาน
-  เอกสารที่แผนกพัฒนาบุคลากร</t>
  </si>
  <si>
    <t>รายงานของศูนย์วิจัย</t>
  </si>
  <si>
    <t xml:space="preserve">มีการนำผลการประเมินความพึงพอใจเสนอที่ประชุมกรรมการบริหาร เพื่อหาแนวทางในการปรับปรุงพัฒนาต่อไป </t>
  </si>
  <si>
    <t>1 = มีการดำเนินการไม่ครบ 4 ข้อแรก
2 = มีการดำเนินการ 4 ข้อแรก
3 = มีการดำเนินการครบทุกข้อ</t>
  </si>
  <si>
    <t xml:space="preserve">2.4 จำนวนนักศึกษาเต็มเวลาเทียบเท่าต่อจำนวนอาจารย์ประจำ 
</t>
  </si>
  <si>
    <t>องค์ประกอบคุณภาพ</t>
  </si>
  <si>
    <t>องค์ประกอบที่ 1</t>
  </si>
  <si>
    <t xml:space="preserve">   ตัวบ่งชี้ที่ 1.1</t>
  </si>
  <si>
    <t xml:space="preserve">   ตัวบ่งชี้ที่ 1.2</t>
  </si>
  <si>
    <t>เฉลี่ยคะแนนองค์ประกอบที่ 1</t>
  </si>
  <si>
    <t>องค์ประกอบที่ 2</t>
  </si>
  <si>
    <t xml:space="preserve">   ตัวบ่งชี้ที่ 2.1</t>
  </si>
  <si>
    <t xml:space="preserve">   ตัวบ่งชี้ที่ 2.2</t>
  </si>
  <si>
    <t xml:space="preserve">   ตัวบ่งชี้ที่ 2.3</t>
  </si>
  <si>
    <t xml:space="preserve">   ตัวบ่งชี้ที่ 2.4</t>
  </si>
  <si>
    <t xml:space="preserve">   ตัวบ่งชี้ที่ 2.5   </t>
  </si>
  <si>
    <r>
      <t xml:space="preserve">  </t>
    </r>
    <r>
      <rPr>
        <sz val="14"/>
        <rFont val="Browallia New"/>
        <family val="2"/>
      </rPr>
      <t xml:space="preserve"> ตัวบ่งชี้ที่ 2.6</t>
    </r>
  </si>
  <si>
    <t xml:space="preserve">   ตัวบ่งชี้ที่ 2.7</t>
  </si>
  <si>
    <t xml:space="preserve">   ตัวบ่งชี้ที่ 2.8 </t>
  </si>
  <si>
    <t xml:space="preserve">   ตัวบ่งชี้ที่ 2.9</t>
  </si>
  <si>
    <t xml:space="preserve">   ตัวบ่งชี้ที่ 2.10</t>
  </si>
  <si>
    <t xml:space="preserve">   ตัวบ่งชี้ที่ 2.11</t>
  </si>
  <si>
    <t xml:space="preserve">   ตัวบ่งชี้ที่ 2.12</t>
  </si>
  <si>
    <t>เฉลี่ยคะแนน  องค์ประกอบที่ 2</t>
  </si>
  <si>
    <t>องค์ประกอบที่ 3</t>
  </si>
  <si>
    <t xml:space="preserve">   ตัวบ่งชี้ที่ 3.1</t>
  </si>
  <si>
    <t xml:space="preserve">   ตัวบ่งชี้ที่ 3.2</t>
  </si>
  <si>
    <t>เฉลี่ยคะแนนองค์ประกอบที่ 3</t>
  </si>
  <si>
    <t>องค์ประกอบที่ 4</t>
  </si>
  <si>
    <t xml:space="preserve">   ตัวบ่งชี้ที่ 4.1</t>
  </si>
  <si>
    <t xml:space="preserve">   ตัวบ่งชี้ที่ 4.2</t>
  </si>
  <si>
    <t xml:space="preserve">   ตัวบ่งชี้ที่ 4.3</t>
  </si>
  <si>
    <t xml:space="preserve">   ตัวบ่งชี้ที่ 4.4</t>
  </si>
  <si>
    <t>คะแนนการประเมิน (ตามเกณฑ์สกอ.)</t>
  </si>
  <si>
    <t xml:space="preserve">   ตัวบ่งชี้ที่ 6.1 </t>
  </si>
  <si>
    <t>องค์ประกอบที่ 7</t>
  </si>
  <si>
    <t xml:space="preserve">   ตัวบ่งชี้ที่ 7.1</t>
  </si>
  <si>
    <t xml:space="preserve">   ตัวบ่งชี้ที่ 7.2</t>
  </si>
  <si>
    <t xml:space="preserve">   ตัวบ่งชี้ที่ 7.3</t>
  </si>
  <si>
    <t xml:space="preserve">   ตัวบ่งชี้ที่ 7.4</t>
  </si>
  <si>
    <t xml:space="preserve">   ตัวบ่งชี้ที่ 7.5</t>
  </si>
  <si>
    <t xml:space="preserve">   ตัวบ่งชี้ที่ 7.6</t>
  </si>
  <si>
    <t xml:space="preserve">   ตัวบ่งชี้ที่ 7.7</t>
  </si>
  <si>
    <t xml:space="preserve">6. มีการเผยแพร่และบริการด้านศิลปวัฒนธรรมในระดับชาติและนานาชาติ อาทิ  มีสถานที่หรือเวทีแสดงผลงาน  จัดทำวารสารศิลปวัฒนธรรมในระดับต่างๆ มีความร่วมมือในการให้การบริการวิชาการด้านศิลปวัฒนธรรมกับสังคมในระดับต่างๆ  </t>
  </si>
  <si>
    <t xml:space="preserve">1. สภาสถาบันมีบทบาทสำคัญในการกำหนดทิศทาง ยุทธศาสตร์และนโยบายของสถาบัน </t>
  </si>
  <si>
    <t>2. สภาสถาบันมีการติดตามผลการดำเนินงานตามภารกิจหลักของสถาบันมากกว่าปีละ 2 ครั้ง</t>
  </si>
  <si>
    <t>1. มีการกำหนดแนวทางการพัฒนาอาจารย์ด้านความรู้ความเข้าใจเกี่ยวกับการวิจัยและพัฒนานวัตกรรมการเรียนการสอน</t>
  </si>
  <si>
    <t xml:space="preserve">      - ด้านวิชาการ วิชาชีพ (สมศ.)</t>
  </si>
  <si>
    <t xml:space="preserve">4.2) จำนวนอาจารย์และนักวิจัยประจำที่ปฏิบัติงานจริงที่ได้รับทุนวิจัย </t>
  </si>
  <si>
    <t xml:space="preserve">      - จำนวนผลงานที่จดสิทธิบัตรหรืออนุสิทธิบัตรในปีการศึกษาปัจจุบัน</t>
  </si>
  <si>
    <t>-  รายงานการประชุมคณะกรรมการบริหาร
-  รายงานการประชุมคณะกรรมการบุคคล</t>
  </si>
  <si>
    <t>นำความคิดเห็นและข้อเสนอแนะมาแก้ปัญหาพร้อมทั้งหาแนวทางป้องกันโดยคณะกรรมการข้อร้องเรียน</t>
  </si>
  <si>
    <t>2. ด้านกระบวนการภายใน</t>
  </si>
  <si>
    <t xml:space="preserve">2. ร้อยละของจำนวนนักศึกษาที่ได้ฝึกงานตรงกับสาขาวิชาที่เรียนต่อจำนวนนักศึกษาที่ต้องการฝึกงานในแต่ละภาคการศึกษา
</t>
  </si>
  <si>
    <t xml:space="preserve">1. มีอาจารย์คุมสอบครบ ตามวัน - เวลา และห้องสอบตามที่กำหนดไว้ (มีครบ / มีไม่ครบ)
</t>
  </si>
  <si>
    <t>4. มีการดำเนินการตามแผนบริหารความเสี่ยง</t>
  </si>
  <si>
    <t>เฉลี่ยคะแนนองค์ประกอบที่ 8</t>
  </si>
  <si>
    <t>องค์ประกอบ</t>
  </si>
  <si>
    <t>1. ปรัชญา ปณิธานวัตถุประสงค์ และแผนการดำเนินการ</t>
  </si>
  <si>
    <t>2. การเรียนการสอน</t>
  </si>
  <si>
    <t>5. การบริการวิชาการแก่สังคม</t>
  </si>
  <si>
    <t>7. การบริหารและการจัดการ</t>
  </si>
  <si>
    <t>9. ระบบและกลไกการประกันคุณภาพ</t>
  </si>
  <si>
    <t>1. ร้อยละของจำนวนอาจารย์ที่มีค่าเฉลี่ยความคิดเห็นของนักศึกษาที่มีต่อการสอน ไม่ต่ำกว่า 3.00 ต่อจำนวนอาจารย์ที่ทำการสอนในแต่ละภาคการศึกษา</t>
  </si>
  <si>
    <t>2. ร้อยละของจำนวนอาจารย์ที่มีค่าเฉลี่ยความคิดเห็นของนักศึกษาที่มีต่อการสอน ต่ำกว่า 3.50 ต่อจำนวนอาจารย์ที่ทำการสอนในแต่ละภาคการศึกษา</t>
  </si>
  <si>
    <t xml:space="preserve">4. จำนวนอาจารย์ที่ค่าเฉลี่ยความคิดเห็นของนักศึกษามีแนวโน้มจะลดลงต่ำกว่า 3.00 และได้รับการป้องกันทุกคน
</t>
  </si>
  <si>
    <t xml:space="preserve">     -  จำนวนหลักสูตรใหม่ หรือหลักสูตรที่ขอปรับปรุง
</t>
  </si>
  <si>
    <t xml:space="preserve">     -  จำนวนหลักสูตรใหม่ หรือหลักสูตรที่ขอปรับปรุงที่ได้รับอนุมัติจากสภามหาวิทยาลัย
</t>
  </si>
  <si>
    <t xml:space="preserve">2. มีการพิจารณาปรับปรุงหลักสูตรในระยะเวลาไม่เกิน 3 ปีทุกหลักสูตร
</t>
  </si>
  <si>
    <t>เฉลี่ยคะแนนองค์ประกอบที่ 4</t>
  </si>
  <si>
    <t>องค์ประกอบที่ 5</t>
  </si>
  <si>
    <t xml:space="preserve">   ตัวบ่งชี้ที่ 5.1</t>
  </si>
  <si>
    <t xml:space="preserve">   ตัวบ่งชี้ที่ 5.2</t>
  </si>
  <si>
    <t xml:space="preserve">   ตัวบ่งชี้ที่ 5.3</t>
  </si>
  <si>
    <t xml:space="preserve">   ตัวบ่งชี้ที่ 5.4</t>
  </si>
  <si>
    <t xml:space="preserve">   ตัวบ่งชี้ที่ 5.5</t>
  </si>
  <si>
    <t>เฉลี่ยคะแนนองค์ประกอบที่ 5</t>
  </si>
  <si>
    <t>องค์ประกอบที่ 6</t>
  </si>
  <si>
    <t>.</t>
  </si>
  <si>
    <t>6. มีระบบติดตามประเมินผลการประกันคุณภาพในกิจกรรมที่นักศึกษาดำเนินการ และในส่วนที่นักศึกษามีส่วนร่วมกับการประกันคุณภาพของสถาบัน</t>
  </si>
  <si>
    <t>7. มีการนำผลการประเมินไปพัฒนากระบวนการให้ความรู้และกลไกการดำเนินงานประกันคุณภาพที่เกี่ยวข้องกับนักศึกษาอย่างต่อเนื่อง</t>
  </si>
  <si>
    <t>1. มีการดำเนินการตามระบบและกลไกการประกันคุณภาพการศึกษาภายในระดับคณะและสถาบันอย่างต่อเนื่อง</t>
  </si>
  <si>
    <t xml:space="preserve">2. มีการปรับปรุงระบบประกันคุณภาพภายในโดยสอดคล้องกับพันธกิจและพัฒนาการของสถาบัน
</t>
  </si>
  <si>
    <t>3. มีการรายงานผลการประกันคุณภาพการศึกษาภายในต่อหน่วยงานที่เกี่ยวข้องและสาธารณชนภายในเวลาที่กำหนด</t>
  </si>
  <si>
    <t>2.5) ผลการประเมินความพึงพอใจของผู้เรียนในเรื่องคุณภาพการสอนและสิ่งสนับสนุนการเรียนรู้ (เทียบจากค่า 5 ระดับ) เฉลี่ยทุกหลักสูตร (สมศ.)</t>
  </si>
  <si>
    <t>2.29) จำนวนบัณฑิตปริญญาตรีที่ตอบแบบสำรวจ  (สมศ.)</t>
  </si>
  <si>
    <t>2.30) จำนวนบัณฑิตระดับปริญญาตรีที่ไม่มีงานทำประจำก่อนเข้าศึกษา</t>
  </si>
  <si>
    <t>2.31) จำนวนบัณฑิตปริญญาตรีที่ศึกษาต่อระดับบัณฑิตศึกษา</t>
  </si>
  <si>
    <t xml:space="preserve">    -  หลักสูตรฉบับที่ใช้ปัจจุบันปรับปรุงครั้งสุดท้ายในปี พ.ศ.....</t>
  </si>
  <si>
    <t xml:space="preserve">2.32) จำนวนบัณฑิตปริญญาตรีที่ไม่มีงานทำประจำก่อนเข้าศึกษาและได้งานทำและประกอบอาชีพอิสระหลังสำเร็จการศึกษา </t>
  </si>
  <si>
    <t>2.33) จำนวนบัณฑิตปริญญาตรีที่ได้งานทำตรงสาขาที่สำเร็จการศึกษา</t>
  </si>
  <si>
    <t>2.35) จำนวนบัณฑิตปริญญาตรีที่ไม่มีงานทำประจำก่อนเข้าศึกษาและได้รับเงินเดือนเริ่มต้นสูงกว่าเกณฑ์หลังสำเร็จการศึกษา</t>
  </si>
  <si>
    <t>2.36) จำนวนบัณฑิตปริญญาตรีที่ไม่มีงานทำประจำก่อนเข้าศึกษาและได้รับเงินเดือนเริ่มต้นต่ำกว่าเกณฑ์หลังสำเร็จการศึกษา</t>
  </si>
  <si>
    <t>4. มีการจัดทำแผนและกลไกการพัฒนาศักยภาพของผู้บริหารตามผลการประเมิน  และดำเนินการตามแผนอย่างครบถ้วน</t>
  </si>
  <si>
    <t xml:space="preserve">1. มีการทบทวนและจัดทำแผนการจัดการความรู้ เพื่อมุ่งสู่องค์กรแห่งการเรียนรู้และประชาสัมพันธ์เผยแพร่ให้ประชาคมของสถาบันรับทราบ </t>
  </si>
  <si>
    <t>1 = 1 - 2.49
2 = 2.50 - 3.49
3= มากกว่าหรือเท่ากับ 3.50</t>
  </si>
  <si>
    <t>ระดับความพึงพอใจของนายจ้าง ผู้ประกอบการ และผู้ใช้บัณฑิต</t>
  </si>
  <si>
    <t>บริหารฯ</t>
  </si>
  <si>
    <t>การบัญชี</t>
  </si>
  <si>
    <t>เศรษฐฯ</t>
  </si>
  <si>
    <t>นิติฯ</t>
  </si>
  <si>
    <t>ศิลปฯ</t>
  </si>
  <si>
    <t>นิเทศฯ</t>
  </si>
  <si>
    <t>วิศวฯ</t>
  </si>
  <si>
    <t>เทคโนฯ</t>
  </si>
  <si>
    <t>ศิลปกรรม</t>
  </si>
  <si>
    <t>บัณฑิต</t>
  </si>
  <si>
    <t>ภาค 1</t>
  </si>
  <si>
    <t xml:space="preserve">7. มีการนำผลการประเมินและผลการวิเคราะห์มาปรับปรุงกลยุทธ์และแผนการดำเนินงานอย่างต่อเนื่อง
</t>
  </si>
  <si>
    <t xml:space="preserve">3. มีการกำหนดตัวบ่งชี้ของการดำเนินงาน และกำหนดเป้าหมายของแต่ละตัวบ่งชี้เพื่อวัดความสำเร็จของการดำเนินงาน
</t>
  </si>
  <si>
    <t xml:space="preserve">5. มีการติดตาม ตรวจสอบ และประเมินผลการดำเนินงานตามตัวบ่งชี้ อย่างน้อยปีละ 2 ครั้ง และรายงานผลต่อผู้บริหารและสภาสถาบัน
</t>
  </si>
  <si>
    <t xml:space="preserve">4. มีการดำเนินการตามแผนครบทุกภารกิจ  
</t>
  </si>
  <si>
    <t xml:space="preserve">6. มีการวิเคราะห์ความสอดคล้องระหว่างกลยุทธ์ แผนการดำเนินงาน เป้าประสงค์ เป้าหมายกับยุทธศาสตร์และแผนพัฒนาของชาติ ตลอดจนสภาพการณ์ปัจจุบันและแนวโน้มในอนาคตอย่างสม่ำเสมอ
</t>
  </si>
  <si>
    <t>4. ด้านบุคลากร การเรียนรู้และนวัตกรรม</t>
  </si>
  <si>
    <t>เฉลี่ยคะแนนรวมทุกตัวบ่งชี้ของ
ทุกด้าน</t>
  </si>
  <si>
    <t>เฉลี่ยคะแนนด้านบุคลากร การเรียนรู้และนวัตกรรม</t>
  </si>
  <si>
    <t>9.1) ระดับความสำเร็จของการประกันคุณภาพการศึกษาภายในตามเกณฑ์ 5 ระดับของ สกอ.</t>
  </si>
  <si>
    <t>ข้อสังเกตนิยามของตัวบ่งชี้</t>
  </si>
  <si>
    <t>1) นับเฉพาะนักศึกษาระดับปริญญาตรี ได้แก่ 2.9 การมีงานทำ 2.10 เงินเดือน 2.11 ความพึงพอใจของนายจ้าง</t>
  </si>
  <si>
    <t>2) ตัวส่วน FTES ทุกตัวบ่งชี้ที่เกี่ยวกับนักศึกษา ยกเว้น 2.12 รางวัลของนักศึกษา</t>
  </si>
  <si>
    <t>3) อาจารย์และนักวิจัยประจำที่ปฏิบัติงานจริง ได้แก่ 4.3 เงินวิจัย 4.4 ชิ้นงานวิจัยที่ตีพิมพ์ฯ</t>
  </si>
  <si>
    <t>4) อาจารย์และนักวิจัยประจำทั้งหมด ได้แก่ 4.5 citation  7.7 อาจารย์และนักวิจัยที่ได้รางวัล</t>
  </si>
  <si>
    <t xml:space="preserve">5) อาจารย์ประจำที่ปฏิบัติงานจริง ได้แก่ 2.4 FTES/อจ  2.13 อ.บัณฑิตวิทยาลัยที่เป็นที่ปรึกษาวิทยานิพนธ์ 5.3 กิจกรรมบริการวิชาการ
</t>
  </si>
  <si>
    <t>6) อาจารย์ประจำทั้งหมด ได้แก่  2.5 อจ.ตรี/โท/เอก  2.6 อจ./ผศ/รศ/ศ   5.2 อาจารย์ที่ให้บริการวิชาการ</t>
  </si>
  <si>
    <t>7) นับซ้ำ ได้แก่ 2.12 นศ.ที่ได้รางวัล  7.7 อจ.และนักวิจัยที่ได้รับรางวัล</t>
  </si>
  <si>
    <t>8) ไม่นับซ้ำ ได้แก่ 4.3 เงินวิจัย 4.4 ชิ้นงานวิจัย  4.5 citation 5.2 จำนวนอจ.ที่ให้บริการวิชาการ</t>
  </si>
  <si>
    <t xml:space="preserve">1.1) จำนวนตัวบ่งชี้ของแผนปฏิบัติงานประจำปี </t>
  </si>
  <si>
    <t>ในแต่ละปีการศึกษา คณะวิชากำหนดจำนวนนักศึกษาที่จะรับเข้าศึกษาในแต่ละคณะวิชา และสาขาวิชา โดยพิจารณาเปรียบเทียบกับจำนวนนักศึกษาที่เคยรับเข้าศึกษาในปีก่อน เสนอจำนวนที่จะรับในการประชุมคณะกรรมการวิชาการ และนำเสนอคณะกรรมการอำนวยการรับสมัครและสอบคัดเลือกนักศึกษาใหม่</t>
  </si>
  <si>
    <t>10. สถาบันภาษา (หลักสูตร 4 ปี)</t>
  </si>
  <si>
    <t>รายงานประชุมคณะกรรมการอำนวยการ คณะกรรมการบุคคล และคณะกรรมการต่างๆ ที่ทำหน้าที่วิเคราะห์ความต้องการเกี่ยวกับอุปกรณ์และครุภัณฑ์</t>
  </si>
  <si>
    <t>เอกสารแสดงการวิเคราะห์การใช้ห้องเรียน ห้องปฏิบัติการคอมพิวเตอร์ และยานพาหนะ</t>
  </si>
  <si>
    <t>- คำสั่งแต่งตั้งกรรมการบริหารคุณภาพ
- นโยบายคุณภาพ
- คำสั่งแต่งตั้งผู้ตรวจติดตามประเมินคุณภาพ
- รายงานการตรวจ ISO จาก BVQI
- รายงานการประชุมผู้บริหาร</t>
  </si>
  <si>
    <t>รายงานการประชุมคณะกรรมการวิชาการของหลักสูตรต่างๆ</t>
  </si>
  <si>
    <t>ร้อยละ 0.50</t>
  </si>
  <si>
    <t>4. มีการนำผลการประเมินไปปรับปรุงการจัดกิจกรรมเพื่อพัฒนานักศึกษาอย่างต่อเนื่อง</t>
  </si>
  <si>
    <t xml:space="preserve">3. มีกระบวนการติดตามและประเมินผลโครงการหรือกิจกรรม ทั้งที่จัดโดยสถาบันและองค์การนักศึกษาทุกสิ้นปีการศึกษา
</t>
  </si>
  <si>
    <t>1. มีการจัดทำระบบบริหารงานวิจัยและงานสร้างสรรค์เพื่อให้บรรลุเป้าหมายตามแผนของสถาบันและสอดคล้องกับยุทธศาสตร์การวิจัยของชาติ</t>
  </si>
  <si>
    <t>2. มีการจัดทำระบบฐานข้อมูลและสารสนเทศที่เกี่ยวข้องกับการบริหารงานวิจัยและงานสร้างสรรค์ที่ใช้ประโยชน์ได้จริง</t>
  </si>
  <si>
    <t>3. มีการจัดสรรทรัพยากรการเงิน ทรัพยากรบุคคล แหล่งค้นคว้าต่างๆ  เพื่อสนับสนุนงานวิจัยและงานสร้างสรรค์</t>
  </si>
  <si>
    <t>4. มีระบบและกลไกพัฒนาทรัพยากรบุคคลด้านการวิจัย</t>
  </si>
  <si>
    <t>8. นำผลการประเมินคุณภาพของการให้บริการมาพัฒนาการจัดบริการแก่นักศึกษาและศิษย์เก่า</t>
  </si>
  <si>
    <t>1. มีการจัดทำแนวทางส่งเสริมการจัดกิจกรรมที่สอดคล้องกับวิสัยทัศน์ของสถาบันและคุณลักษณะบัณฑิตที่พึงประสงค์ตามกรอบมาตรฐานคุณวุฒิระดับอุดมศึกษา</t>
  </si>
  <si>
    <t>โปรดกรอกข้อมูลด้านล่าง</t>
  </si>
  <si>
    <t>มีการกำหนดหลักเกณฑ์และระเบียบทั้งในระดับมหาวิทยาลัย และระดับหน่วยงานให้บริการ</t>
  </si>
  <si>
    <t xml:space="preserve">- คู่มือการประกันคุณภาพการศึกษาภายใน
มหาวิทยาลัยธุรกิจบัณฑิตย์ (ปีการศึกษา ต่างๆ)
- เอกสาร PM ของระบบ ISO
 </t>
  </si>
  <si>
    <t xml:space="preserve">2.25) จำนวนอาจารย์ประจำที่ปฏิบัติงานจริงที่เข้าร่วมประชุมวิชาการหรือนำเสนอผลงานวิชาการ (ไม่นับซ้ำ) (สมศ.) </t>
  </si>
  <si>
    <t xml:space="preserve">      - ในประเทศ</t>
  </si>
  <si>
    <t xml:space="preserve">      - ต่างประเทศ</t>
  </si>
  <si>
    <t>2.27) จำนวนผลงานวิจัยและ /หรือนวัตกรรมการเรียนการสอนของคณาจารย์</t>
  </si>
  <si>
    <t>2.28) จำนวนบัณฑิตระดับปริญญาตรีทั้งหมด</t>
  </si>
  <si>
    <t xml:space="preserve">เอกสาร ISO PM 35 งานสื่อสารการตลาด
 </t>
  </si>
  <si>
    <t>เอกสาร ISO  PM 27 งานรับข้อร้องเรียน</t>
  </si>
  <si>
    <t>เอกสาร ISO  PM 27 และ PM 35</t>
  </si>
  <si>
    <t>ฝ่ายสื่อสารการตลาดรับผิดชอบงานประชาสัมพันธ์ ได้สร้างเครือข่ายความสัมพันธ์กับชุมชน โรงเรียน และสื่อต่างๆ ซึ่งบุคคลภายนอกสามารถแสดงความคิดเห็นหรือสอบถามเรื่องต่างๆ ของมหาวิทยาลัยได้ตลอดเวลา โดยผ่านช่องทางต่างๆ ตามข้อ 2</t>
  </si>
  <si>
    <t xml:space="preserve">     6.4 หลักสูตรนิเทศศาสตรบัณฑิต  สาขาวิชาวารสารศาสตร์</t>
  </si>
  <si>
    <t xml:space="preserve">     7.1 หลักสูตรวิศวกรรมศาสตรบัณฑิต  สาขาวิชาวิศวกรรมไฟฟ้า</t>
  </si>
  <si>
    <t xml:space="preserve">     7.2 หลักสูตรวิศวกรรมศาสตรบัณฑิต  สาขาวิชาวิศวกรรมอุตสาหการ</t>
  </si>
  <si>
    <t xml:space="preserve">     7.3 หลักสูตรวิศวกรรมศาสตรบัณฑิต  สาขาวิชาวิศวกรรมคอมพิวเตอร์</t>
  </si>
  <si>
    <t xml:space="preserve">     8.1 หลักสูตรวิทยาศาสตรบัณฑิต  สาขาวิชาเทคโนโลยีสารสนเทศ</t>
  </si>
  <si>
    <t xml:space="preserve">     8.3 หลักสูตรศิลปศาสตรบัณฑิต  สาขาวิชาการออกแบบเชิงโต้ตอบและการพัฒนาเกม</t>
  </si>
  <si>
    <t xml:space="preserve">     9.1 หลักสูตรศิลปกรรมศาสตรบัณฑิต  สาขาวิชาศิลปะการแสดงประยุกต์</t>
  </si>
  <si>
    <t xml:space="preserve">     9.2 หลักสูตรศิลปกรรมศาสตรบัณฑิต  สาขาวิชาการออกแบบตกแต่งภายใน</t>
  </si>
  <si>
    <t xml:space="preserve">     9.3 หลักสูตรศิลปกรรมศาสตรบัณฑิต  สาขาวิชาคอมพิวเตอร์กราฟิก</t>
  </si>
  <si>
    <t xml:space="preserve">     9.4 หลักสูตรศิลปกรรมศาสตรบัณฑิต  สาขาวิชาการออกแบบและธุรกิจแฟชั่น</t>
  </si>
  <si>
    <t>1.  หลักสูตรบริหารธุรกิจมหาบัณฑิต  สาขาวิชาบริหารธุรกิจ</t>
  </si>
  <si>
    <t>ระดับปริญญาเอก</t>
  </si>
  <si>
    <t>1.  หลักสูตรนิติศาสตรดุษฎีบัณฑิต</t>
  </si>
  <si>
    <t>รวมทุกคณะ</t>
  </si>
  <si>
    <t>ตาราง ส. 1 ตารางสรุปการประเมินตามองค์ประกอบคุณภาพเฉพาะตัวบ่งชี้ของ สกอ.</t>
  </si>
  <si>
    <t>ตาราง ส. 2 ตารางสรุปการประเมินตามมาตรฐานการอุดมศึกษาเฉพาะตัวบ่งชี้ของ สกอ.</t>
  </si>
  <si>
    <t>ตาราง ส. 3 ตารางสรุปการประเมินตามมุมมองด้านการบริหารจัดการเฉพาะตัวบ่งชี้ของ สกอ.</t>
  </si>
  <si>
    <t xml:space="preserve">- รายงานผลการตรวจ ISO
- รายงานการตรวจการประเมินคุณภาพภายใน
- รายงานการประเมินตนเอง  
</t>
  </si>
  <si>
    <t xml:space="preserve">- รายงานผลการตรวจ ISO
- รายงานการประเมินตนเอง  
</t>
  </si>
  <si>
    <t>4. มีแผนการใช้ทรัพยากรร่วมกันกับหน่วยงานอื่นนอกสถาบัน</t>
  </si>
  <si>
    <t>1 = วุฒิป.เอกอยู่ระหว่างร้อยละ 1 - 19   หรือ วุฒิป.เอกอยู่ระหว่างร้อยละ 20 - 29 แต่วุฒิป.ตรีมากกว่าร้อยละ 5
2 = วุฒิป.เอกอยู่ระหว่างร้อยละ 20-29 และวุฒิป.ตรีเท่ากับหรือน้อยกว่าร้อยละ 5 หรือ วุฒิป.เอกมากกว่าหรือเท่ากับร้อยละ 30 และวุฒิป.ตรี มากกว่า ร้อยละ 5
3 = วุฒิป.เอกมากกว่าหรือเท่ากับร้อยละ 30 และวุฒิป.ตรีเท่ากับหรือน้อยกว่าร้อยละ 5</t>
  </si>
  <si>
    <t>อาจารย์ทั้งหมดที่มีตำแหน่ง ศ : รศ. : ผศ. : อ.</t>
  </si>
  <si>
    <t>ร้อยละอาจารย์ทั้งหมดที่มีตำแหน่ง ศ : รศ. : ผศ. : อ.</t>
  </si>
  <si>
    <t>2.6 สัดส่วนของอาจารย์ประจำที่ดำรงตำแหน่งอาจารย์ ผู้ช่วยศาสตราจารย์ รองศาสตราจารย์ และศาสตราจารย์</t>
  </si>
  <si>
    <t>2.7 มีกระบวนการส่งเสริมการปฏิบัติตามจรรยาบรรณวิชาชีพของคณาจารย์</t>
  </si>
  <si>
    <t>เกณฑ์มาตรฐานและการดำเนินงาน</t>
  </si>
  <si>
    <t>R</t>
  </si>
  <si>
    <t xml:space="preserve">5. มีการสรุปผลการดำเนินงานตามแผนบริหารความเสี่ยง ตลอดจนมีการกำหนดแนวทางและข้อเสนอแนะในการปรับปรุงแผนบริหารความเสี่ยงโดยได้รับความเห็นชอบจากผู้บริหารสูงสุดของสถาบัน
</t>
  </si>
  <si>
    <r>
      <t>องค์ประกอบที่ 7</t>
    </r>
    <r>
      <rPr>
        <sz val="18"/>
        <color rgb="FF3333FF"/>
        <rFont val="Browallia New"/>
        <family val="2"/>
      </rPr>
      <t xml:space="preserve">   </t>
    </r>
    <r>
      <rPr>
        <b/>
        <sz val="18"/>
        <color rgb="FF3333FF"/>
        <rFont val="Browallia New"/>
        <family val="2"/>
      </rPr>
      <t>การบริหารและการจัดการ</t>
    </r>
  </si>
  <si>
    <r>
      <t>องค์ประกอบที่ 8</t>
    </r>
    <r>
      <rPr>
        <sz val="18"/>
        <color indexed="12"/>
        <rFont val="Browallia New"/>
        <family val="2"/>
      </rPr>
      <t xml:space="preserve"> </t>
    </r>
    <r>
      <rPr>
        <b/>
        <sz val="18"/>
        <color indexed="12"/>
        <rFont val="Browallia New"/>
        <family val="2"/>
      </rPr>
      <t xml:space="preserve">  การเงินและงบประมาณ</t>
    </r>
  </si>
  <si>
    <t xml:space="preserve">     1.9 หลักสูตรบริหารธุรกิจบัณฑิต  สาขาวิชาการจัดการธุรกิจท่องเที่ยว (เฉพาะ 4 ปี)</t>
  </si>
  <si>
    <t xml:space="preserve">     1.10 หลักสูตรบริหารธุรกิจบัณฑิต  สาขาวิชาการจัดการโลจิสติกส์และโซ่อุปทาน (เฉพาะ 4 ปี)</t>
  </si>
  <si>
    <t xml:space="preserve">     5.2 หลักสูตรศิลปศาสตรบัณฑิต  สาขาวิชาภาษาญี่ปุ่นธุรกิจ</t>
  </si>
  <si>
    <t xml:space="preserve">     5.3 หลักสูตรศิลปศาสตรบัณฑิต  สาขาวิชาการท่องเที่ยวและการโรงแรม (หลักสูตร 4 ปี และต่อเนื่อง 2 ปี)
</t>
  </si>
  <si>
    <t xml:space="preserve">     5.4 หลักสูตรศิลปศาสตรบัณฑิต  สาขาวิชาภาษาไทยเพื่ออาชีพ</t>
  </si>
  <si>
    <t xml:space="preserve">     5.5 หลักสูตรศิลปศาสตรบัณฑิต  สาขาวิชาการจัดการสารสนเทศ</t>
  </si>
  <si>
    <t>15. หลักสูตรวิทยาศาสตรมหาบัณฑิต  สาขาวิชาวิศวกรรมเว็บ</t>
  </si>
  <si>
    <t>ระดับประกาศนียบัตรบัณฑิต</t>
  </si>
  <si>
    <t>ร้อยละ 80</t>
  </si>
  <si>
    <t xml:space="preserve">ร้อยละ 0 </t>
  </si>
  <si>
    <t>เอก ร้อยละ 18
โท ร้อยละ 77  
ตรี ร้อยละ 5</t>
  </si>
  <si>
    <t>ร้อยละ ศ+รศ+ผศ = 18
ร้อยละ ศ+รศ = 5</t>
  </si>
  <si>
    <t>ร้อยละ 0.350</t>
  </si>
  <si>
    <t xml:space="preserve">ร้อยละ 15 </t>
  </si>
  <si>
    <t xml:space="preserve">ร้อยละ 30 </t>
  </si>
  <si>
    <t>6 แหล่ง</t>
  </si>
  <si>
    <t xml:space="preserve">มีการประเมินผลการเรียนการสอนทั้ง formative และ summative มีทั้งการสอบกลางภาคและปลายภาค การแบ่งคะแนนระหว่างคะแนนเก็บและคะแนนสอบเป็นไปตามลักษณะของวิชาและสภาพการจัดการเรียนการสอน   </t>
  </si>
  <si>
    <t>ทุกหลักสูตรมีอาจารย์พิเศษซึ่งเป็นผู้ทรงคุณวุฒิในศาสตร์สาขาต่างๆ</t>
  </si>
  <si>
    <t>มีการประเมินการสอนของผู้ทรงคุณวุฒิที่มาเป็นอาจารย์พิเศษ และมีการประเมินสถานประกอบการที่ให้นักศึกษาปฏิบัติงานในวิชาสหกิจศึกษาและที่ให้นักศึกษาฝึกงาน</t>
  </si>
  <si>
    <t>ปรับปรุงและพัฒนาฐานข้อมูลงานวิจัยบุคลากรของมหาวิทยาลัยอย่างต่อเนื่อง</t>
  </si>
  <si>
    <t xml:space="preserve">- จัดส่งวารสารสุทธิปริทัศน์ และข่าววิจัยธุรกิจบัณฑิตย์ไปยังสมาชิก และมอบให้ห้องสมุดและฝ่ายวิจัยของสถาบันอุดมศึกษาต่างๆ 
- จัดตั้งเครือข่ายวิจัย "ประชาชื่น" </t>
  </si>
  <si>
    <t>- ระเบียบการเงินในการให้บริการวิชาการ
- ระเบียบของหน่วยงานให้บริการวิชาการ</t>
  </si>
  <si>
    <t>- เอกสารเกี่ยวกับระบบฐานข้อมูล
- รายงานการสำรวจความพึงพอใจในการให้บริการของหน่วยงานต่างๆ ของศูนย์วิจัย</t>
  </si>
  <si>
    <t xml:space="preserve">มีการประเมินประสิทธิภาพและความปลอดภัยของระบบฐานข้อมูล และระบบสารสนเทศทั้งหมดขององค์กร ทั้งจากทีมที่ปรึกษาและทีมงานภายใน โดยมีเจ้าหน้าที่คอยติดตามการดำเนินการของเครื่องแม่ข่ายต่างๆทั้งหมด และมีการกำหนดสิทธิในการเข้าถึงข้อมูลอย่างเป็นระบบ มีการจัดเก็บเครื่องแม่ข่ายในห้องที่ปลอดภัยจากบุคคลภายนอก มีระบบการป้องกันและกู้คืนจากความเสียหาย มีการติดตั้ง patch และ update antivirus ตลอดเวลา มีระบบ Firewall ป้องกันการบุกรุกจากบุคคลนอกเครือข่ายรวมทั้งมีการเข้ารหัสการเข้าถึงข้อมูลด้วย SSL
</t>
  </si>
  <si>
    <t>- อธิการบดีแต่งตั้งคณะกรรมการสอบสวนและคณะกรรมการพิจารณาประสิทธิภาพการทำงานสำหรับอาจารย์ และบุคลากรที่มีปัญหาในการปฏิบัติงาน ปัญหาด้านจริยธรรม ผลการสอบสวนและข้อเสนอในการลงโทษผู้ที่ทำผิดจะเสนอคณะกรรมการบุคคลเพื่ออนุมัติ  
- ฝ่ายทรัพยากรบุคคลปรับปรุงข้อบังคับมหาวิทยาลัยธุรกิจบัณฑิตย์ว่าด้วยการบริหารงานบุคคล  พ.ศ.  2550</t>
  </si>
  <si>
    <t xml:space="preserve">   -  จำนวนวิชาที่กำหนด ตามแผนการศึกษาประจำปี 2552</t>
  </si>
  <si>
    <t xml:space="preserve">   -  จำนวนวิชาที่เปิดสอนจริงในปีการศึกษา 2552</t>
  </si>
  <si>
    <t>1.คณะวิชาเปิดสอนวิชาตามแผนการศึกษาประจำปีที่กำหนดตามหลักสูตร</t>
  </si>
  <si>
    <t>ผลการปฏิบัติงานปีการศึกษา 2552 วัดตามตัวบ่งชี้</t>
  </si>
  <si>
    <t>ภาพรวม ปี 2552</t>
  </si>
  <si>
    <t>4.  คณะนิติศาสตร์ปรีดี  พนมยงค์  (หลักสูตร 4 ปี)</t>
  </si>
  <si>
    <t xml:space="preserve">     3.1  หลักสูตรเศรษฐศาสตรบัณฑิต  สาขาวิชาเศรษฐศาสตร์</t>
  </si>
  <si>
    <t xml:space="preserve">     3.2  หลักสูตรศิลปศาสตรบัณฑิต   สาขาวิชารัฐประศาสนศาสตร์</t>
  </si>
  <si>
    <t xml:space="preserve">     5.6 หลักสูตรวิทยาศาสตรบัณฑิต  สาขาวิชาเทคโนโลยีการอาหาร</t>
  </si>
  <si>
    <t xml:space="preserve">     5.7 หลักสูตรวิทยาศาสตรบัณฑิต  สาขาวิชาบูรณาการสุขภาพและความงาม</t>
  </si>
  <si>
    <t>16. ศิลปศาสตรมหาบัณฑิต  สาขาวิชาการจัดการการท่องเที่ยว</t>
  </si>
  <si>
    <t>17. หลักสูตรบริหารธุรกิจมหาบัณฑิต  สาขาวิชาบริหารธุรกิจ (หลักสูตรนานาชาติ)</t>
  </si>
  <si>
    <t xml:space="preserve">      - ป.บัณฑิต</t>
  </si>
  <si>
    <r>
      <t>จำนวนตัวบ่งชี้ที่บรรลุเป้าหมาย</t>
    </r>
    <r>
      <rPr>
        <sz val="16"/>
        <rFont val="Browallia New"/>
        <family val="2"/>
      </rPr>
      <t xml:space="preserve"> x 100</t>
    </r>
  </si>
  <si>
    <t>ในการเปิดหลักสูตรใหม่ หน่วยงานที่เสนอต้องวิเคราะห์ความต้องการของตลาดแรงงานในสาขาวิชาที่จะเปิดสอน จัดทำร่างหลักสูตรและนำเข้าพิจารณาในคณะกรรมการพัฒนาหลักสูตรซึ่งประกอบด้วยผู้ทรงคุณวุฒิภายนอกอย่างน้อย 2-3  คน  จากนั้นนำเสนอรองอธิการบดีฝ่ายวิชาการเพื่อพิจารณานำเสนอคณะกรรมการวิชาการของมหาวิทยาลัย เมื่อผ่านคณะกรรมการวิชาการแล้ว นำเสนอคณะกรรมการอำนวยการพร้อมการวิเคราะห์จุดคุ้มทุนของหลักสูตร แล้วจึงเสนอสภาวิชาการและสภามหาวิทยาลัยเพื่อพิจารณาอนุมัติ สำหรับการปรับปรุงหลักสูตรดำเนินการเช่นเดียวกับการเปิดหลักสูตรใหม่  ยกเว้นไม่ต้องวิเคราะห์จุดคุ้มทุน ในการปิดหลักสูตรรองอธิการบดีฝ่ายวิชาการและผู้ช่วยรองอธิการบดีฝ่ายวิชาการ พิจารณาเบื้องต้นจากจำนวนนักศึกษาที่มีในแต่ละปี  หากเห็นควรปิดหลักสูตรเนื่องจากจำนวนนักศึกษาน้อยเกินไป  จะทำเรื่องเสนอต่ออธิการบดีเพื่อพิจารณาปิดหลักสูตรต่อไป  เพื่อให้การดำเนินการตามระบบ ดังกล่าวข้างต้นเป็นที่ทราบชัดเจนโดยทั่วกัน  สำนักวิชาการจัดทำแนวทางปฏิบัติในการเปิดดำเนินการหลักสูตรและการปิดหลักสูตรของมหาวิทยาลัย พ.ศ.2550 และแจกจ่ายหน่วยงานเมื่อวันที่ 1 มิถุนายน  2550</t>
  </si>
  <si>
    <t>รายงานผลการประเมินคุณภาพภายในระดับคณะวิชา</t>
  </si>
  <si>
    <t>- แผนพัฒนามหาวิทยาลัย พ.ศ.2551-2555
- CD Rom รวบรวมเอกสารที่เกี่ยวข้องในกระบวนการจัดทำแผนพัฒนามหาวิทยาลัยฉบับที่ 2 พ.ศ.2551-2555</t>
  </si>
  <si>
    <t>- เอกสารประกอบการบรรยายกิจกรรมต้อนรับอาจารย์ใหม่ 
- รายงานประชุมคณะวิชา/ภาควิชา
- เอกสารประกอบการอบรมเทคนิคการสอนระดับอุดมศึกษา</t>
  </si>
  <si>
    <t>- ในกิจกรรมต้อนรับอาจารย์ใหม่รองอธิการบดีฝ่ายวิชาการจะบรรยายวัตถุประสงค์ และเป้าหมายของการจัดการศึกษาในภาพรวมและบทบาทของอาจารย์ที่คาดหวัง
- คณะวิชา/ภาควิชาประชุมอาจารย์เป็นประจำอย่างน้อยเดือนละครั้ง และได้สื่อสาร เกี่ยวกับวัตถุประสงค์และเป้าหมายของการจัดการศึกษาหลักสูตรในความรับผิดชอบ
-  การอบรมเทคนิคการสอนระดับอุดมศึกษาที่จัดทุกภาคฤดูร้อน มีหัวข้อการจัดทำ ประมวลการสอนและแผนการสอน  กิจกรรมเป็นการบรรยายและการฝึกปฏิบัติ โดยให้อาจารย์ได้เขียนประมวลการสอนและแผนการสอนของตนเอง ซึ่งมีการฝึกเขียนวัตถุประสงค์ของรายวิชาซึ่งเชื่อมโยงกับวัตถุประสงค์ของหลักสูตร</t>
  </si>
  <si>
    <t xml:space="preserve">เอกสารประมวลการสอนและแผนการสอนของวิชาต่างๆ
 </t>
  </si>
  <si>
    <t>- แบบฟอร์มขออนุญาตเชิญอาจารย์พิเศษ
- แบบฟอร์มอนุมัติค่าสอนอาจารย์พิเศษ</t>
  </si>
  <si>
    <t>- เอกสารที่งานสหกิจศึกษา
- แบบฟอร์มการประเมินการฝึกงาน
- เอกสารโครงการเสริมหลักสูตรต่างๆ  
-ประมวลการสอนวิชา GT 208</t>
  </si>
  <si>
    <t>อาจารย์ทั้งหมดที่มีวุฒิ เอก:โท:ตรี</t>
  </si>
  <si>
    <t>ร้อยละอาจารย์ทั้งหมดที่มีวุฒิ 
เอก : โท : ตรี</t>
  </si>
  <si>
    <r>
      <t>บัณฑิตที่มีงานทำ</t>
    </r>
    <r>
      <rPr>
        <sz val="14"/>
        <rFont val="Browallia New"/>
        <family val="2"/>
      </rPr>
      <t xml:space="preserve"> x 100</t>
    </r>
  </si>
  <si>
    <t>โครงการวิจัยสถาบัน รายงานการสำรวจภาวะการหางานของบัณฑิต มธบ. ที่สำเร็จการศึกษา ปีการศึกษา 2551</t>
  </si>
  <si>
    <r>
      <t xml:space="preserve">2. มีการส่งเสริมให้สถาบันและองค์การนักศึกษาจัดกิจกรรมนักศึกษาให้ครบทุกประเภท โดยอย่างน้อยต้องดำเนินการใน 5 ประเภท ดังนี้
   </t>
    </r>
    <r>
      <rPr>
        <b/>
        <sz val="14"/>
        <rFont val="Browallia New"/>
        <family val="2"/>
      </rPr>
      <t xml:space="preserve"> - กิจกรรมวิชาการ 
    - กิจกรรมกีฬาและการส่งเสริมสุขภาพ 
    - กิจกรรมบำเพ็ญประโยชน์และรักษาสิ่งแวดล้อม
    - กิจกรรมนันทนาการ
    - กิจกรรมส่งเสริมศิลปวัฒนธรรม</t>
    </r>
    <r>
      <rPr>
        <b/>
        <sz val="16"/>
        <rFont val="Browallia New"/>
        <family val="2"/>
      </rPr>
      <t xml:space="preserve">
</t>
    </r>
  </si>
  <si>
    <t>มีโครงการประกวดผลงานวิจัย  เพื่อยกย่องนักวิจัยที่มีผลงานวิจัยและงานสร้างสรรค์ดีเด่น</t>
  </si>
  <si>
    <t>- สนับสนุนให้อาจารย์รับทุนอุดหนุนการวิจัยจากหน่วยงานภายนอก
- ผลักดันเครือข่ายให้มีความร่วมมือทางวิชาการอย่างเป็นรูปธรรม
- ให้บริการวิชาการด้านการอบรมและวิจัยให้กับภาคธุรกิจและอุตสาหกรรม
- จัดสัมมนาวิชาการโดยทำให้เกิดความร่วมมือระหว่างเครือข่ายวิจัย "ประชาชื่น"</t>
  </si>
  <si>
    <t xml:space="preserve">- รายชื่อสมาชิกและสถาบันการศึกษาที่ส่งวารสารสุทธิปริทัศน์ และข่าววิจัยธุรกิจบัณฑิตย์ไปเผยแพร่ ตลอดจนการเชิญมาร่วมอบรม/ สัมมนาที่มหาวิทยาลัยจัดขึ้น 
- เอกสารบันทึกความเข้าใจเครือข่ายวิจัย "ประชาชื่น"   </t>
  </si>
  <si>
    <t xml:space="preserve">โครงการวิจัยที่รับทุนจากองค์กรภายนอกของศูนย์วิจัย  และคณะวิชาต่างๆ เช่น กระทรวงยุติธรรม กระทรวงการท่องเที่ยวและการกีฬา เป็นต้น </t>
  </si>
  <si>
    <t>ไม่มี</t>
  </si>
  <si>
    <r>
      <t xml:space="preserve">- แบบฟอร์มตัวบ่งชี้ 4.3
- ข้อมูลของคณะวิชา และศูนย์วิจัย  
</t>
    </r>
    <r>
      <rPr>
        <sz val="16"/>
        <color indexed="10"/>
        <rFont val="Browallia New"/>
        <family val="2"/>
      </rPr>
      <t xml:space="preserve"> </t>
    </r>
  </si>
  <si>
    <r>
      <t>เงินสนับสนุนงานวิจัย/งานสร้างสรรค์จ</t>
    </r>
    <r>
      <rPr>
        <u/>
        <sz val="14"/>
        <rFont val="Browallia New"/>
        <family val="2"/>
      </rPr>
      <t xml:space="preserve">ากภายในและภายนอกสถาบัน </t>
    </r>
  </si>
  <si>
    <r>
      <t xml:space="preserve">- แบบฟอร์มตัวบ่งชี้ 4.4
- ข้อมูลของคณะวิชา และศูนย์วิจัย  
</t>
    </r>
    <r>
      <rPr>
        <sz val="16"/>
        <color indexed="10"/>
        <rFont val="Browallia New"/>
        <family val="2"/>
      </rPr>
      <t xml:space="preserve"> </t>
    </r>
  </si>
  <si>
    <r>
      <t>อจ.ทั้งหมดที่ให้บริการวิชาการ</t>
    </r>
    <r>
      <rPr>
        <sz val="16"/>
        <rFont val="Browallia New"/>
        <family val="2"/>
      </rPr>
      <t xml:space="preserve"> x 100</t>
    </r>
  </si>
  <si>
    <r>
      <t xml:space="preserve">อจ.,นักวิจัยทั้งหมดที่ได้รางวัลฯ </t>
    </r>
    <r>
      <rPr>
        <sz val="14"/>
        <rFont val="Browallia New"/>
        <family val="2"/>
      </rPr>
      <t>x 100</t>
    </r>
  </si>
  <si>
    <t xml:space="preserve">- ระบบ MIS ของมหาวิทยาลัย
- ระบบ FIS  </t>
  </si>
  <si>
    <t xml:space="preserve">มีการสร้างเครือข่ายการประกันคุณภาพภายในหน่วยงาน เช่น การสรรหาบุคลากรของหน่วยงานต่างๆ มาเป็นผู้ประเมินซึ่งจะประเมินข้ามสายงานหรือต่างหน่วยงานกัน ทำให้เกิดการแลกเปลี่ยนเรียนรู้การปฏิบัติที่ดีต่อกัน มีการตรวจระบบบริหารคุณภาพสากล ISO จาก BVQI ทุก 6 เดือน นอกจากนี้ มีสถาบันอื่นๆ มาเยี่ยมชมระบบการประกันคุณภาพการศึกษาของมหาวิทยาลัย เช่น กรมยุทธศึกษาทหาร มหาวิทยาลัยเทคโนโลยีราชมงคล เป็นต้น ได้แลกเปลี่ยนเรียนรู้ระหว่างกัน ซึ่งถือว่าเป็นการสร้างเครือข่ายด้านประกันคุณภาพกับหน่วยงานนอกสถาบัน
 </t>
  </si>
  <si>
    <t>1 = มีการดำเนินการไม่ครบ 4  ข้อแรก
2 = มีการดำเนินการ 4 – 5 ข้อแรก 
3 = มีการดำเนินการอย่างน้อย 6 ข้อแรก</t>
  </si>
  <si>
    <t>18. หลักสูตรนิเทศศาสตรมหาบัณฑิต  สาขาวิชาการสื่อสารการตลาดเชิงบูรณาการ (หลักสูตรนานาชาติ)</t>
  </si>
  <si>
    <t>19. หลักสูตรวิทยาศาสตรมหาบัณฑิต  สาขาวิชาสารสนเทศอัตโนมัติเชิงธุรกิจ (หลักสูตรนานาชาติ)</t>
  </si>
  <si>
    <r>
      <t>ตัวบ่งชี้ 1.2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%การบรรลุเป้าหมายของตัวบ่งชี้</t>
    </r>
  </si>
  <si>
    <r>
      <t>ตัวบ่งชี้ 2.1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มีระบบการบริหารหลักสูตร</t>
    </r>
  </si>
  <si>
    <r>
      <t>ตัวบ่งชี้ 2.2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การเรียนรู้ที่เน้นผู้เรียนเป็นสำคัญ</t>
    </r>
  </si>
  <si>
    <r>
      <t>ตัวบ่งชี้ 2.3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มีการส่งเสริมพัฒนาหลักสูตรโดยคนภายนอกมีส่วนร่วม</t>
    </r>
  </si>
  <si>
    <r>
      <t>ตัวบ่งชี้ 2.4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FTES ต่ออาจารย์</t>
    </r>
  </si>
  <si>
    <t>N/A</t>
  </si>
  <si>
    <r>
      <t>ตัวบ่งชี้ 2.5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สัดส่วนคุณวุฒิอาจารย์</t>
    </r>
  </si>
  <si>
    <r>
      <t>ตัวบ่งชี้ 2.7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จรรยาบรรณวิชาชีพอาจารย์</t>
    </r>
  </si>
  <si>
    <r>
      <t>ตัวบ่งชี้ 2.9</t>
    </r>
    <r>
      <rPr>
        <b/>
        <sz val="16"/>
        <rFont val="Browallia New"/>
        <family val="2"/>
      </rPr>
      <t xml:space="preserve">
%</t>
    </r>
    <r>
      <rPr>
        <sz val="14"/>
        <rFont val="Browallia New"/>
        <family val="2"/>
      </rPr>
      <t>การมีงานทำของบัณฑิต</t>
    </r>
  </si>
  <si>
    <r>
      <t>ตัวบ่งชี้ 2.10</t>
    </r>
    <r>
      <rPr>
        <b/>
        <sz val="16"/>
        <rFont val="Browallia New"/>
        <family val="2"/>
      </rPr>
      <t xml:space="preserve">
%</t>
    </r>
    <r>
      <rPr>
        <sz val="14"/>
        <rFont val="Browallia New"/>
        <family val="2"/>
      </rPr>
      <t>บัณฑิตที่ได้เงินเดือนตามเกณฑ์</t>
    </r>
  </si>
  <si>
    <r>
      <t>ตัวบ่งชี้ 2.11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ความพึงพอใจของนายจ้าง</t>
    </r>
  </si>
  <si>
    <r>
      <t>ตัวบ่งชี้ 2.12</t>
    </r>
    <r>
      <rPr>
        <b/>
        <sz val="16"/>
        <rFont val="Browallia New"/>
        <family val="2"/>
      </rPr>
      <t xml:space="preserve">
%</t>
    </r>
    <r>
      <rPr>
        <sz val="14"/>
        <rFont val="Browallia New"/>
        <family val="2"/>
      </rPr>
      <t>รางวัลของนักศึกษาและศิษย์เก่า</t>
    </r>
  </si>
  <si>
    <r>
      <t xml:space="preserve">ตัวบ่งชี้ 3.1
</t>
    </r>
    <r>
      <rPr>
        <sz val="14"/>
        <rFont val="Browallia New"/>
        <family val="2"/>
      </rPr>
      <t>มีการจัดบริการนักศึกษา</t>
    </r>
  </si>
  <si>
    <r>
      <t xml:space="preserve">ตัวบ่งชี้ 3.2
</t>
    </r>
    <r>
      <rPr>
        <sz val="14"/>
        <rFont val="Browallia New"/>
        <family val="2"/>
      </rPr>
      <t>มีการส่งเสริมกิจกรรมนักศึกษา</t>
    </r>
  </si>
  <si>
    <r>
      <t>ตัวบ่งชี้ 4.1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ระบบการสนับสนุนงานวิจัย</t>
    </r>
  </si>
  <si>
    <r>
      <t>ตัวบ่งชี้ 4.2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ระบบการจัดการความรู้จากงานวิจัย</t>
    </r>
  </si>
  <si>
    <r>
      <t>ตัวบ่งชี้ 4.3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เงินวิจัยต่ออาจารย์</t>
    </r>
  </si>
  <si>
    <r>
      <t>ตัวบ่งชี้ 4.4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%งานวิจัยที่ตีพิมพ์เผยแพร่ต่ออาจารย์</t>
    </r>
  </si>
  <si>
    <r>
      <t>ตัวบ่งชี้ 5.1</t>
    </r>
    <r>
      <rPr>
        <sz val="14"/>
        <rFont val="Browallia New"/>
        <family val="2"/>
      </rPr>
      <t xml:space="preserve">
มีระบบการบริการวิชาการ</t>
    </r>
  </si>
  <si>
    <r>
      <t>ตัวบ่งชี้ 5.2</t>
    </r>
    <r>
      <rPr>
        <b/>
        <sz val="16"/>
        <rFont val="Browallia New"/>
        <family val="2"/>
      </rPr>
      <t xml:space="preserve">
%</t>
    </r>
    <r>
      <rPr>
        <sz val="14"/>
        <color indexed="63"/>
        <rFont val="Browallia New"/>
        <family val="2"/>
      </rPr>
      <t>อาจารย์ที่ให้บริการวิชาการ</t>
    </r>
  </si>
  <si>
    <r>
      <t>ตัวบ่งชี้ 5.3</t>
    </r>
    <r>
      <rPr>
        <b/>
        <sz val="16"/>
        <rFont val="Browallia New"/>
        <family val="2"/>
      </rPr>
      <t xml:space="preserve">
%</t>
    </r>
    <r>
      <rPr>
        <sz val="14"/>
        <rFont val="Browallia New"/>
        <family val="2"/>
      </rPr>
      <t>โครงการบริการวิชาการต่ออาจารย์</t>
    </r>
  </si>
  <si>
    <r>
      <t>ตัวบ่งชี้ 5.4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ความพึงพอใจของผู้รับบริการ</t>
    </r>
  </si>
  <si>
    <r>
      <t>ตัวบ่งชี้ 5.5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จำนวนแหล่งบริการวิชาการ</t>
    </r>
  </si>
  <si>
    <r>
      <t>ตัวบ่งชี้ 6.1</t>
    </r>
    <r>
      <rPr>
        <b/>
        <sz val="16"/>
        <rFont val="Browallia New"/>
        <family val="2"/>
      </rPr>
      <t xml:space="preserve">
</t>
    </r>
    <r>
      <rPr>
        <sz val="13"/>
        <rFont val="Browallia New"/>
        <family val="2"/>
      </rPr>
      <t>ระบบการทำนุบำรุงศิลปวัฒนธรรม</t>
    </r>
  </si>
  <si>
    <r>
      <t>ตัวบ่งชี้ 7.1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ธรรมาภิบาลของสภาสถาบัน</t>
    </r>
  </si>
  <si>
    <r>
      <t>ตัวบ่งชี้ 7.2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ภาวะผู้นำ</t>
    </r>
  </si>
  <si>
    <r>
      <t>ตัวบ่งชี้ 7.3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 xml:space="preserve">การพัฒนาสู่องค์กรการเรียนรู้ </t>
    </r>
  </si>
  <si>
    <r>
      <t>ตัวบ่งชี้ 7.4</t>
    </r>
    <r>
      <rPr>
        <b/>
        <sz val="16"/>
        <rFont val="Browallia New"/>
        <family val="2"/>
      </rPr>
      <t xml:space="preserve">
</t>
    </r>
    <r>
      <rPr>
        <sz val="13"/>
        <rFont val="Browallia New"/>
        <family val="2"/>
      </rPr>
      <t>ระบบการบริหารทรัพยากรบุคคล</t>
    </r>
  </si>
  <si>
    <r>
      <t>ตัวบ่งชี้ 7.5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ศักยภาพของระบบฐานข้อมูล</t>
    </r>
  </si>
  <si>
    <r>
      <t>ตัวบ่งชี้ 7.6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การให้บุคคลภายนอกมีส่วนร่วม</t>
    </r>
  </si>
  <si>
    <r>
      <t>ตัวบ่งชี้ 7.7</t>
    </r>
    <r>
      <rPr>
        <b/>
        <sz val="16"/>
        <rFont val="Browallia New"/>
        <family val="2"/>
      </rPr>
      <t xml:space="preserve">
</t>
    </r>
    <r>
      <rPr>
        <b/>
        <sz val="13"/>
        <rFont val="Browallia New"/>
        <family val="2"/>
      </rPr>
      <t>%</t>
    </r>
    <r>
      <rPr>
        <sz val="13"/>
        <rFont val="Browallia New"/>
        <family val="2"/>
      </rPr>
      <t>อาจารย์ที่ได้รับรางวัลทางวิชาการหรือวิชาชีพ</t>
    </r>
  </si>
  <si>
    <r>
      <t>ตัวบ่งชี้ 7.8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ระบบบริหารความเสี่ยง</t>
    </r>
  </si>
  <si>
    <r>
      <t>ตัวบ่งชี้ 7.9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การถ่ายทอดตัวบ่งชี้</t>
    </r>
  </si>
  <si>
    <r>
      <t>ตัวบ่งชี้ 8.1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ระบบการเงินและงบประมาณ</t>
    </r>
  </si>
  <si>
    <r>
      <t>ตัวบ่งชี้ 8.2</t>
    </r>
    <r>
      <rPr>
        <b/>
        <sz val="16"/>
        <rFont val="Browallia New"/>
        <family val="2"/>
      </rPr>
      <t xml:space="preserve">
</t>
    </r>
    <r>
      <rPr>
        <sz val="12"/>
        <rFont val="Browallia New"/>
        <family val="2"/>
      </rPr>
      <t>การใช้ทรัพยากรภายในภายนอกร่วมกัน</t>
    </r>
  </si>
  <si>
    <r>
      <t>ตัวบ่งชี้ 9.1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ระบบการประกันคุณภาพ (QA)</t>
    </r>
  </si>
  <si>
    <r>
      <t>ตัวบ่งชี้ 9.2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การให้ความรู้ QA แก่ นศ.</t>
    </r>
  </si>
  <si>
    <r>
      <t>ตัวบ่งชี้ 9.3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ระดับความสำเร็จของ QA</t>
    </r>
  </si>
  <si>
    <r>
      <t>ตัวบ่งชี้ 2.6</t>
    </r>
    <r>
      <rPr>
        <sz val="16"/>
        <color indexed="12"/>
        <rFont val="Browallia New"/>
        <family val="2"/>
      </rPr>
      <t xml:space="preserve"> 
</t>
    </r>
    <r>
      <rPr>
        <sz val="14"/>
        <rFont val="Browallia New"/>
        <family val="2"/>
      </rPr>
      <t>สัดส่วนตำแหน่งวิชาการของอาจารย์</t>
    </r>
  </si>
  <si>
    <t>คณะ
บริหาร
ธุรกิจ</t>
  </si>
  <si>
    <t>คณะ
เศรษฐ
ศาสตร์ฯ</t>
  </si>
  <si>
    <r>
      <t xml:space="preserve">มหา
วิทยาลัย </t>
    </r>
    <r>
      <rPr>
        <b/>
        <sz val="11"/>
        <rFont val="Browallia New"/>
        <family val="2"/>
      </rPr>
      <t>(ประเมินตนเอง)</t>
    </r>
  </si>
  <si>
    <r>
      <t>ตัวบ่งชี้ 2.8</t>
    </r>
    <r>
      <rPr>
        <b/>
        <sz val="16"/>
        <rFont val="Browallia New"/>
        <family val="2"/>
      </rPr>
      <t xml:space="preserve">
</t>
    </r>
    <r>
      <rPr>
        <sz val="14"/>
        <rFont val="Browallia New"/>
        <family val="2"/>
      </rPr>
      <t>วิจัยเพื่อพัฒนาการเรียนการสอน</t>
    </r>
  </si>
  <si>
    <t>รายงานการสำรวจการติดตามการทำงานของบัณฑิต และความพึงพอใจของผู้บังคับบัญชาที่มีต่อบัณฑิตมหาวิทยาลัยธุรกิจบัณฑิตย์ที่สำเร็จการศึกษา ปีการศึกษา 2551</t>
  </si>
  <si>
    <r>
      <rPr>
        <b/>
        <sz val="16"/>
        <color indexed="12"/>
        <rFont val="Browallia New"/>
        <family val="2"/>
      </rPr>
      <t>ตัวบ่งชี้ 1.1</t>
    </r>
    <r>
      <rPr>
        <sz val="16"/>
        <rFont val="Browallia New"/>
        <family val="2"/>
      </rPr>
      <t xml:space="preserve">
มี</t>
    </r>
    <r>
      <rPr>
        <sz val="14"/>
        <rFont val="Browallia New"/>
        <family val="2"/>
      </rPr>
      <t xml:space="preserve">การกำหนดปรัชญา แผนปฏิบัติการ </t>
    </r>
  </si>
  <si>
    <t>ในแผนปฏิบัติการประจำปีของแต่ละคณะและหน่วยงาน จะมีการระบุโครงการหรือกิจกรรมที่จัดขึ้นเพื่อผลักดันแผนกลยุทธ์ของมหาวิทยาลัยทั้ง 9 กลยุทธ์หลัก ซึ่งครอบคลุมภารกิจของมหาวิทยาลัยในด้าน การเรียนการสอน การวิจัย การบริการวิชาการ และการทำนุบำรุงศิลปวัฒนธรรม</t>
  </si>
  <si>
    <t xml:space="preserve">- กำหนดแผนงานประจำปีเกี่ยวกับโครงการพัฒนาอาจารย์ด้านความรู้ความเข้าใจเกี่ยวกับการวิจัย 
- สำรวจความต้องการฝึกอบรมของอาจารย์เกี่ยวกับการวิจัย
- การจัดอบรมวิจัยภายในหน่วยงาน
</t>
  </si>
  <si>
    <t xml:space="preserve">- แผนงานประจำปีของศูนย์วิจัย
- ผลการสำรวจความต้องการฝึกอบรมของอาจารย์
- เอกสารการจัดอบรมและเสวนาวิจัย  
</t>
  </si>
  <si>
    <t>เอกสารเวทีวิจัยในชั้นเรียน</t>
  </si>
  <si>
    <t xml:space="preserve">- เอกสารวาระการประชุม “เครือข่ายวิจัยประชาชื่น”
- เอกสารเวทีการวิจัยในชั้นเรียน
</t>
  </si>
  <si>
    <t>ในการดำเนินงานโครงการต่างๆ นั้น ได้มีการจัดทำการประเมินผลโครงการทุกครั้งที่จัดโครงการต่างๆ  แต่ถ้าหากเป็นการบริการของแผนกต่างๆ  แผนกเป็นผู้ดำเนินการประเมินเป็นประจำทุกเดือน</t>
  </si>
  <si>
    <t xml:space="preserve">- งบประมาณประจำปีของฝ่ายวิจัย
- รายชื่อของบุคลากรของศูนย์วิจัย 
-รายชื่อโครงการวิจัยที่ได้รับเงินอุดหนุนการวิจัยของมหาวิทยาลัย
- เว็บไซต์ศูนย์สารสนเทศและหอสมุด
- คำชี้แจงการเสนอโครงการเพื่อรับทุนวิจัย “สิปปนนท์เมธีวิจัย” มหาวิทยาลัยธุรกิจบัณฑิตย์
</t>
  </si>
  <si>
    <t>บันทึกการประชุมศูนย์วิจัย</t>
  </si>
  <si>
    <t xml:space="preserve">- ปฏิทินการศึกษา ประจำปี 2552 
- สรุปจำนวนกรรมการสภามหาวิทยาลัยที่มาประชุมและลาประชุม ปีการศึกษา 2552
- ใบลงนามรับเอกสารการประชุม
</t>
  </si>
  <si>
    <t xml:space="preserve"> - นโยบายงบประมาณประจำปี
- คู่มือระบบงบประมาณ
-  Presentation งบประมาณ
- รายงานการใช้งบประมาณ
- คำสั่งมอบอำนาจทางการเงิน
</t>
  </si>
  <si>
    <t xml:space="preserve"> มีระบบฐานข้อมูลของ SAP ที่มีข้อมูลทางงบประมาณ-บัญชี-การเงิน และข้อมูลการเงินนักศึกษา  ซึ่งสามารถส่งผ่านข้อมูลไปจัดทำรายงานทางการเงิน ผ่านระบบ Business Warehouse (BW) และ Crystal  Report</t>
  </si>
  <si>
    <t xml:space="preserve"> - สัญญาจ้างพัฒนาระบบ SLCM และ Crystal Report 
- รายงานการใช้งบประมาณประจำเดือน
</t>
  </si>
  <si>
    <t>ใช้ระบบ BW และ Crystal Report จัดทำรายงานทางการเงินอย่างเป็นระบบทุกเดือนรวมทั้งมีการนำเสนอรายงานพร้อมตอบข้อซักถามชี้แจงในรายละเอียดต่อกรรมการอำนวยการทุกเดือน</t>
  </si>
  <si>
    <t xml:space="preserve"> มีการจัดทำรายงานสรุปการใช้งบประมาณประจำเดือนแยกตามสายงาน และแยกตามกองทุน  เพื่อให้ทราบสถานะทางการเงินทั้งในภาพรวมของมหาวิทยาลัย และของแต่ละกองทุน  มีการวิเคราะห์ติดตามการใช้จ่ายเงินงบประมาณ  และมีการจัดทำรายงานสรุปสถิติผลประกอบการที่สำคัญ เพื่อติดตามสถานะการใช้งบประมาณและสถานะการเงินของแต่ละกองทุนทุกเดือนอย่างใกล้ชิด</t>
  </si>
  <si>
    <t xml:space="preserve"> - รายงานของผู้สอบบัญชีรับอนุญาต
- รายงานผลการตรวจของผู้ตรวจสอบภายใน
</t>
  </si>
  <si>
    <t xml:space="preserve"> - การพิจารณาสรรหาอาจารย์และบุคลากรใหม่จะใช้ข้อมูลการวิเคราะห์ความ
  ต้องการจำเป็น เช่น ภาระการสอนของอาจารย์  สัดส่วนระหว่างอาจารย์และ
  บุคลากรสายสนับสนุน  เป็นต้น
- การจัดสรรงบประมาณพิจารณาจากผลการวิเคราะห์ความต้องการจำเป็น เช่น 
  การเพิ่มจำนวนห้องเรียน  ห้องปฏิบัติการและการจัดหาอุปกรณ์ต่างๆ    
</t>
  </si>
  <si>
    <t xml:space="preserve"> - เอกสารการประชุมสโมสรนักศึกษาและชมรมต่างๆ
- เอกสารประกอบการนำเสนอในการปฐมนิเทศนักศึกษาใหม่ของรองอธิการบดีฝ่ายวิชาการ
- VCD การบรรยายของรองอธิการบดีฝ่ายวิชาการในวิชาองค์รวมแห่งชีวิต
- เอกสารการบรรยายของรองอธิการบดีฝ่ายวิชาการในการปัจฉิมนิเทศนักศึกษา
</t>
  </si>
  <si>
    <t>5.4) ระดับความพึงพอใจของผู้รับบริการ</t>
  </si>
  <si>
    <t>3.  คณะเศรษฐศาสตร์และรัฐประศาสนศาสตร์  (หลักสูตร 4 ปี)</t>
  </si>
  <si>
    <t xml:space="preserve">     5.8 หลักสูตรวิทยาศาสตรบัณฑิต  สาขาวิชาสถิติประยุกต์</t>
  </si>
  <si>
    <t xml:space="preserve">     11.4 หลักสูตรบริหารธุรกิจบัณฑิต   </t>
  </si>
  <si>
    <t xml:space="preserve">- แผนพัฒนามหาวิทยาลัย พ.ศ.2551-2555 หน้า 4-9 
- เอกสารโครงการหรือกิจกรรมของหน่วยงานที่ส่งฝ่ายแผนงาน
</t>
  </si>
  <si>
    <t>แผนพัฒนามหาวิทยาลัยแบ่งออกเป็น 9 กลยุทธ์หลัก 44 กลยุทธ์ย่อย ซึ่งในแต่ละกลยุทธ์ย่อยได้มีการกำหนดตัวบ่งชี้ และเป้าหมายตัวบ่งชี้เป็นรายปี เพื่อวัดความสำเร็จของการดำเนินงาน   ในแผนปฏิบัติการของคณะและหน่วยงานต่างๆ ทุกโครงการและกิจกรรมใดๆ ที่คณะและหน่วยงานจะจัดดำเนินการต้องระบุตัวบ่งชี้ และเป้าหมายตัวบ่งชี้ ประกอบกับงบประมาณที่จะใช้และระบุว่าเป็นไปตามกลยุทธ์ใดของแผนพัฒนามหาวิทยาลัย</t>
  </si>
  <si>
    <t xml:space="preserve">มหาวิทยาลัยจัดให้มีการประเมินผลการดำเนินการตามแผนพัฒนามหาวิทยาลัยเพื่อนำเสนอต่อกรรมการอำนวยการและกรรมการสภาปีการศึกษาละ 2 ครั้ง โดยในแต่ละครั้งจะมีการนำเสนอแนวทางการปรับปรุงกลยุทธ์ อาทิ การปรับลดกลยุทธ์ใดที่อาจไม่สอดคล้อง เหมาะสมในการปฏิบัติจริง หรือการปรับเปลี่ยนค่าเป้าหมายตัวบ่งชี้บางตัวให้เหมาะสมกับสภาพจริง เนื่องจากในการกำหนดค่าเป้าหมายไม่มีข้อมูลที่เป็น baseline ในช่วงปลายปีการศึกษา 2552 ได้มีการทบทวน วิสัยทัศน์และกลยุทธ์ของมหาวิทยาลัยและจะนำมาปรับแผนกลยุทธ์ตามวิสัยทัศน์และกลยุทธ์ใหม่ในปีการศึกษา  2553    
 </t>
  </si>
  <si>
    <t xml:space="preserve">จาก 83 หลักสูตรมีจำนวนอาจารย์ประจำปฏิบัติหน้าที่ครบตามเกณฑ์มาตรฐานหลักสูตร 74 หลักสูตร </t>
  </si>
  <si>
    <t xml:space="preserve">- คำสั่งแต่งตั้งคณะกรรมการพัฒนาหลักสูตร                 
- รายชื่อสถานประกอบการที่ขึ้นทะเบียนไว้
</t>
  </si>
  <si>
    <t>- คำสั่งแต่งตั้งกรรมการ
- ข้อบังคับมหาวิทยาลัยธุรกิจบัณฑิตย์ว่าด้วยการบริหารงานบุคคล  พ.ศ.  2550</t>
  </si>
  <si>
    <t xml:space="preserve">- เอกสารการรับรองคุณภาพการสอน
-  กำหนดการสนทนาวิชาการ
- เอกสารการอบรมเทคนิคการสอน
</t>
  </si>
  <si>
    <t xml:space="preserve">- ให้ทุนอุดหนุนการวิจัยเพื่อการผลิตสื่อการสอน CAI วิชาต่างๆ โดยเฉพาะวิชาที่จำเป็นต้องใช้คอมพิวเตอร์ช่วยสอน บทเรียน e-learning และทุนวิจัยในชั้นเรียน
- ประชาสัมพันธ์ให้อาจารย์ทราบถึงแหล่งวิจัยอื่นๆ     
</t>
  </si>
  <si>
    <t xml:space="preserve">- ประกาศการให้ทุนอุดหนุนการผลิตสื่อการสอนและทุนวิจัยในชั้นเรียน
- แหล่งทุนอื่นๆ จาก website ศูนย์วิจัย และแจ้งผ่าน E-mail มธบ.  คอลัมน์ลงข่าววิจัยของมหาวิทยาลัย
</t>
  </si>
  <si>
    <t xml:space="preserve">ปีการศึกษา2552  มีผลงานวิจัยในชั้นเรียน 7 เรื่อง นำเสนอในเวทีวิจัยในชั้นเรียน วันที่ 23  เมษายน  2553  โดยเชิญอาจารย์ภายนอกร่วมนำเสนอและเข้าร่วมฟังด้วย    </t>
  </si>
  <si>
    <r>
      <t xml:space="preserve"> นศ.,ศิษย์เก่าที่ได้รางวัลปีปัจจุบัน</t>
    </r>
    <r>
      <rPr>
        <sz val="12"/>
        <rFont val="Browallia New"/>
        <family val="2"/>
      </rPr>
      <t xml:space="preserve"> X 100</t>
    </r>
  </si>
  <si>
    <t xml:space="preserve">- สำนักกิจการนักศึกษาจัดบริการอบรมหลักสูตรระยะสั้นและหลักสูตรระยะยาวตลอดทั้งปี อีกทั้งได้ดำเนินการจัดบริการห้องสมุดแนะแนวและอาชีพ รวมทั้งจัดบริการแบบทดสอบทางจิตวิทยาบนคอมพิวเตอร์
- ศูนย์สารสนเทศและหอสมุดจัดบริการสื่อสิ่งพิมพ์และสื่ออิเล็กทรอนิกส์ในรูปแบบต่างๆ เพื่อให้นักศึกษาได้พัฒนาการเรียนรู้ 
- สถาบันภาษาจัดบริการห้อง SALLC (Self Access Language Learning Center) ให้นักศึกษาพัฒนาทักษะด้านภาษาอังกฤษ โดยมีเครื่องคอมพิวเตอร์ที่มีบทเรียน on-line  200 กว่าเครื่องเปิดบริการตลอดเวลาทำการ  
- มีห้อง Internet ให้บริการนอกเหนือจากห้องปฏิบัติการคอมพิวเตอร์ โดยมีเครื่องคอมพิวเตอร์ให้บริการทั้งในและนอกเวลาทำการ
</t>
  </si>
  <si>
    <t>- ศูนย์เตรียมความพร้อมเพื่อการทำงานอบรมนักศึกษาด้านบุคลิกภาพโดยวิทยากรเป็นอาจารย์ที่ผ่านการอบรมจากสถาบัน John Robert Powers และเป็นหน่วยงานที่ดำเนินการเกี่ยวกับข้อมูลการทดสอบทักษะที่จำเป็นของนักศึกษา และการจัดทำวุฒิบัตรของผู้ผ่านการทดสอบ ทักษะเหล่านี้ได้แก่ ทักษะทางเทคโนโลยีสารสนเทศ ทักษะทางภาษาอังกฤษ และทักษะด้านบริหารธุรกิจ ซึ่งดำเนินการทดสอบโดยคณะเทคโนโลยีสารสนเทศ สถาบันภาษา และคณะบริหารธุรกิจ ตามลำดับ</t>
  </si>
  <si>
    <t xml:space="preserve">- แผ่นพับศูนย์กีฬา         
- งบประมาณการจัดซื้ออุปกรณ์กีฬาและงบประมาณซ่อมแซมวัสดุอุปกรณ์
- รายงานการดูแลนักศึกษาประจำเดือนของอาจารย์ผู้ปกครองหอพัก   
- รายงานการประชุมคณะกรรมการจัดระเบียบสังคมของมหาวิทยาลัย      
- คำสั่งแต่งตั้งคณะทำงานตรวจเยี่ยมและประเมินหอพัก  
- โครงการมอบรางวัลหอพักเครือข่ายดีเด่นประจำปี   
</t>
  </si>
  <si>
    <t>- เอกสารสรุปโครงการ
- รายงานการปฏิบัติงานรายเดือนของแผนกต่างๆ ของสำนักกิจการนักศึกษา และเอกสารสรุปโครงการของหน่วยงานต่างๆ ที่ระบุในข้อข้างต้น</t>
  </si>
  <si>
    <t xml:space="preserve">- รายงานการประชุมคณะกรรมการบริหาร สำนักกิจการนักศึกษา
- รายงานการสำรวจความพึงพอใจของนักศึกษาประจำปีการศึกษา  2552 </t>
  </si>
  <si>
    <t>- จัดสรรงบประมาณสนับสนุนโครงการวิจัยทุกประเภทตามความสนใจของอาจารย์
- มีคลีนิคที่ให้บริการปรึกษาเกี่ยวกับการวิจัยแก่อาจารย์  นักศึกษา และบุคคลภายนอก รวมทั้งหน่วยงานของภาครัฐและเอกชน
- ศูนย์สนเทศและหอสมุดจัดบริการฐานข้อมูลวิจัยสาขาวิชาต่างๆ เพื่อประโยชน์ในการค้นคว้าของอาจารย์และนักศึกษา
- มีกิจกรรมคัดเลือกโครงการวิจัยที่มีคุณลักษณะที่เหมาะสมในการรับทุน "สิปปนนท์เมธีวิจัย"</t>
  </si>
  <si>
    <t xml:space="preserve">แผนพัฒนามหาวิทยาลัยธุรกิจบัณฑิตย์ ปีการศึกษา 2551-2555
 </t>
  </si>
  <si>
    <t>เอกสารการติดตามผลการดำเนินงานโครงการปีการศึกษา 2552  ตามแผนพัฒนามหาวิทยาลัยที่ฝ่ายแผนงาน</t>
  </si>
  <si>
    <t xml:space="preserve"> - ตารางการสอนนาฏศิลป์และดนตรีไทย 
- เอกสารการเข้าเยี่ยมชมศูนย์วัฒนธรรมและพิพิธภัณฑ์ชีวประวัติ ดร.ไสว สุทธิพิทักษ์ 
</t>
  </si>
  <si>
    <t xml:space="preserve"> - รายงานการประชุมคณะกรรมการบริหาร ประจำปีการศึกษา 2552
- รายงานผลสำรวจความพึงพอใจของบุคลากรและนักศึกษา  ปีการศึกษา 2552 
</t>
  </si>
  <si>
    <t>มีที่ปรึกษาจากภายนอกเข้ามาร่วมพัฒนามหาวิทยาลัยและดำเนินการอย่างต่อเนื่อง เช่น โครงการจัดระเบียบสังคมรอบมหาวิทยาลัย  การจัดรายการวิทยุชุมชน  กรรมการวิชาการของสาขาวิชาต่าง ๆ</t>
  </si>
  <si>
    <t>- เอกสารเกี่ยวกับโครงการจัดระเบียบสังคมรอบมหาวิทยาลัย  
- เอกสารกิจกรรมวิทยุชุมชน
- รายชื่อที่ปรึกษาของมหาวิทยาลัย
- รายชื่อกรรมการวิชาการของภาควิชาและคณะวิชา</t>
  </si>
  <si>
    <t>แบบฟอร์ม 7.7</t>
  </si>
  <si>
    <t>มีการกำหนดนโยบายด้านงบประมาณและกำหนดแนวทางปฏิบัติเพื่อควบคุมงบประมาณอย่างชัดเจน  มีการจัดทำงบประมาณประจำปีทั้งในภาพรวมและแยกรายหน่วยงาน  และมีการจัดสรรงบประมาณให้ครอบคลุมทุกประเภทกิจกรรม กิจกรรมและโครงการที่ขออนุมัติต้องระบุว่าสอดคล้องกับกลยุทธ์ใดของมหาวิทยาลัย</t>
  </si>
  <si>
    <t xml:space="preserve"> คณะกรรมการอำนวยการของมหาวิทยาลัยทำหน้าที่วิเคราะห์ความต้องการใช้ทรัพยากรของมหาวิทยาลัยในส่วนของอาคารสถานที่และทรัพยากรที่มีการลงทุนสูง  คณะกรรมการบุคคลวิเคราะห์ความต้องการด้านบุคลากร และคณะกรรมการที่มีรองอธิการบดีฝ่ายบริหารเป็นประธานทำการวิเคราะห์เกี่ยวกับอุปกรณ์และครุภัณฑ์ที่ใช้ในการเรียนการสอนและใช้งานในสายสนับสนุน</t>
  </si>
  <si>
    <t xml:space="preserve"> - วิชาองค์รวมแห่งชีวิตในหมวดศึกษาทั่วไปซึ่งนักศึกษาทุกคนต้องเรียนได้กำหนดเนื้อหาการประกันคุณภาพการศึกษาเป็นหัวข้อหนึ่ง มีการปรับสื่อการสอนและกิจกรรมในหัวข้อนี้ทุกปีการศึกษา 
- ในการปัจฉิมนิเทศนักศึกษาที่จะสำเร็จการศึกษามีการบรรยายหัวข้อการประกันคุณภาพการศึกษาซึ่งเชื่อมโยงไปถึงการประกันคุณภาพภายในการทำงาน สำนักกิจการนักศึกษาจัดอบรมนักศึกษาที่ปฏิบัติงานของสโมสรนักศึกษาและชมรมต่างๆ เกี่ยวกับการประกันคุณภาพการศึกษา 
</t>
  </si>
  <si>
    <t xml:space="preserve"> - แบบสำรวจความคิดเห็นของนักศึกษาที่มีต่อการสอนของอาจารย์ทั้งกลางภาคและปลายภาค 
- แบบฟอร์มคำร้องของนักศึกษา 
- คำสั่งแต่งตั้งคณะกรรมการพัฒนาระบบการประกันคุณภาพการศึกษา        </t>
  </si>
  <si>
    <t xml:space="preserve"> - ระบบข้อมูลคะแนนสำรวจความคิดเห็นของนักศึกษาที่มีต่อการสอนของอาจารย์
- เอกสารระบบการร้องเรียนของนักศึกษา
</t>
  </si>
  <si>
    <r>
      <rPr>
        <i/>
        <sz val="16"/>
        <rFont val="Browallia New"/>
        <family val="2"/>
      </rPr>
      <t>ครั้งที่ 3  วันที่ 28 ตุลาคม 2552</t>
    </r>
    <r>
      <rPr>
        <sz val="16"/>
        <rFont val="Browallia New"/>
        <family val="2"/>
      </rPr>
      <t xml:space="preserve">
</t>
    </r>
    <r>
      <rPr>
        <sz val="14"/>
        <rFont val="Browallia New"/>
        <family val="2"/>
      </rPr>
      <t>4.2 ขออนุมัติเปิดดำเนินการหลักสูตรบัญชีมหาบัณฑิต</t>
    </r>
    <r>
      <rPr>
        <sz val="16"/>
        <rFont val="Browallia New"/>
        <family val="2"/>
      </rPr>
      <t xml:space="preserve">
</t>
    </r>
    <r>
      <rPr>
        <i/>
        <sz val="16"/>
        <rFont val="Browallia New"/>
        <family val="2"/>
      </rPr>
      <t>ครั้งที่ 4 วันที่ 23 ธันวาคม 2552</t>
    </r>
    <r>
      <rPr>
        <sz val="16"/>
        <rFont val="Browallia New"/>
        <family val="2"/>
      </rPr>
      <t xml:space="preserve">
</t>
    </r>
    <r>
      <rPr>
        <sz val="14"/>
        <rFont val="Browallia New"/>
        <family val="2"/>
      </rPr>
      <t>3.3 รายงานผลการดำเนินงานตามแผนพัฒนามหาวิทยาลัย ภาคการศึกษาที่ 1/2552</t>
    </r>
    <r>
      <rPr>
        <sz val="16"/>
        <rFont val="Browallia New"/>
        <family val="2"/>
      </rPr>
      <t xml:space="preserve">
</t>
    </r>
    <r>
      <rPr>
        <sz val="14"/>
        <rFont val="Browallia New"/>
        <family val="2"/>
      </rPr>
      <t>4.7 ขออนุมัติเปิดดำเนินการหลักสูตร (นานาชาติ)</t>
    </r>
    <r>
      <rPr>
        <sz val="16"/>
        <rFont val="Browallia New"/>
        <family val="2"/>
      </rPr>
      <t xml:space="preserve">
</t>
    </r>
    <r>
      <rPr>
        <sz val="14"/>
        <rFont val="Browallia New"/>
        <family val="2"/>
      </rPr>
      <t>- แผนพัฒนามหาวิทยาลัย ปีการศึกษา 2551-2555</t>
    </r>
  </si>
  <si>
    <t xml:space="preserve"> ปีการศึกษา 2552 สภามหาวิทยาลัยประชุม 5 ครั้ง ซึ่งคิดเป็นร้อยละ 100 ของแผนการประชุมสภามหาวิทยาลัยที่กำหนดไว้ ในการประชุมมีกรรมการมาประชุมโดยเฉลี่ยร้อยละ 92 มีการส่งเอกสารให้กรรมการสภาสถาบัน  6.40  วัน ก่อนการประชุม </t>
  </si>
  <si>
    <t xml:space="preserve"> - รายงานการใช้งบประมาณประจำเดือน     
- รายงานรายได้และค่าใช้จ่าย
- รายงานการติดตามหนี้
- รายงาน นศ.กยศ. 
</t>
  </si>
  <si>
    <t xml:space="preserve"> - รายงานสรุปการใช้งบประมาณประจำเดือน
- รายงานสถิติผลประกอบการที่สำคัญ
</t>
  </si>
  <si>
    <t>- เอกสารความร่วมมือเครือข่ายชุมชน
- รายงานผลการวิจัยสถาบัน 
นำเสนอเมื่อวันที่ 29 เมษายน 2553</t>
  </si>
  <si>
    <t>แผนพัฒนามหาวิทยาลัยฉบับที่ 2 พ.ศ.2551-2555 จัดทำขึ้นให้มีความสอดคล้องกับทิศทางในการพัฒนาประเทศ โดยยึดแผนพัฒนาเศรษฐกิจและสังคมแห่งชาติฉบับที่ 10 พ.ศ.2550-2554 และแผนอุดมศึกษา 15 ปี พ.ศ.2551-2556 ทำให้มหาวิทยาลัยให้ความสำคัญเป็นอย่างยิ่งต่อการเรียนการสอนที่เน้นผู้เรียนเป็นสำคัญ การพัฒนาคุณภาพคณาจารย์ และการเรียนการสอน รวมทั้งยังนำข้อแนะนำจากคณะผู้ประเมินคุณภาพการศึกษาภายในในปีที่ผ่านมา โดยเฉพาะอย่างยิ่งเกี่ยวกับการเชื่อมโยงมหาวิทยาลัยกับชุมชนใกล้เคียง เพื่อให้บริการทางวิชาการของมหาวิทยาลัยเป็นประโยชน์ต่อการพัฒนาชุมชนมาดำเนินการโดยการสร้างเครือข่ายกับชุมชนจำนวน 38 ชุมชน มีการจัดทำงานวิจัยให้ชุมชน นำนักศึกษาวิชาจิตสำนึกสาธารณะและวิชาการจัดการความดีช่วยพัฒนาชุมชนและจัดสัมมนาให้ผู้นำชุมชน นอกจากนี้ศูนย์วิจัยของมหาวิทยาลัยยังทำหน้าที่ในการจัดทำวิจัยสถาบันประจำปี ทั้งที่เป็นการสำรวจความพึงพอใจและประสิทธิภาพการทำงานของหน่วยงานภายในมหาวิทยาลัย และการศึกษาความคิดเห็นของผู้ประกอบการและนายจ้าง เพื่อนำมาปรับปรุงคุณภาพของบัณฑิตให้สอดคล้องกับความต้องการของตลาด</t>
  </si>
  <si>
    <t xml:space="preserve">- ในแผนการสอนระบุรายละเอียดวิธีการสอนและกิจกรรมซึ่งมีการใช้สื่อที่หลากหลาย ทุกห้องเรียนมีอุปกรณ์คอมพิวเตอร์และเครื่องฉาย LCD              
- ศูนย์เทคโนโลยีทางการศึกษาพัฒนาระบบ DPULSS ให้อาจารย์มีเว็บไซต์เพื่อช่วยในการเรียนการสอนและได้มีการปรับปรุงระบบอย่างต่อเนื่อง เพื่อให้อาจารย์ได้รับความสะดวกและเป็นประโยชน์ต่อการเรียนการสอนมากขึ้น
- มีการกำหนดร้อยละของอาจารย์ที่มีเว็บไซต์ของตนเองไว้ในแผนพัฒนามหาวิทยาลัย        </t>
  </si>
  <si>
    <t>- มีการพิจารณาปรับเปลี่ยนอาจารย์พิเศษโดยพิจารณาจากผลประเมินของนักศึกษา 
- มีการพิจารณาปรับเปลี่ยนผู้ทรงคุณวุฒิในการพัฒนาหลักสูตรโดยพิจารณาจากการมีส่วนร่วมที่ผ่านมาของผู้ทรงคุณวุฒิ                   
- มีการพิจารณาไม่ส่งนักศึกษาไปฝึกงานหรือปฏิบัติงานสหกิจศึกษาในสถานประกอบการที่ดูแลนักศึกษาไม่ดี</t>
  </si>
  <si>
    <t>จำนวนคณะวิชาที่ได้ 3 คะแนน X 100</t>
  </si>
  <si>
    <t>(บัณฑิตที่ตอบแบบสำรวจ-ที่ศึกษาต่อ)</t>
  </si>
  <si>
    <r>
      <t>บัณฑิตที่ได้รับเงินเดือนตามเกณฑ์</t>
    </r>
    <r>
      <rPr>
        <sz val="12"/>
        <rFont val="Browallia New"/>
        <family val="2"/>
      </rPr>
      <t xml:space="preserve"> X 100</t>
    </r>
  </si>
  <si>
    <t xml:space="preserve">- สำนักกิจการนักศึกษาได้จัดบริการงานแนะแนวและจัดหางาน  โดยจัดบริการเผยแพร่ความรู้ด้านจิตวิทยาและการจัดให้คำปรึกษาทั้งในแบบส่วนตัวและเป็นกลุ่ม  อีกทั้งได้จัดให้มีคลินิกคลายเครียดและสายด่วน Hotline ไว้บริการทุกวันตามเวลาทำงาน ส่วนงานด้านการจัดหางานนั้นได้มีการจัดบริการให้คำปรึกษาทางอาชีพให้กับนักศึกษาและบัณฑิตที่มาขอรับคำปรึกษาเพื่อสมัครงานทุกวันตามเวลาทำการ
- ศูนย์บริการนักศึกษาให้คำปรึกษาในด้านต่างๆ เช่น การลงทะเบียน หลักสูตร ระบบการบริการของมหาวิทยาลัย การเข้าระบบคอมพิวเตอร์ที่เกี่ยวกับนักศึกษา เป็นต้น 
</t>
  </si>
  <si>
    <t>FM 23-2 สำหรับโครงการที่ใช้งบประมาณของสโมสรนักศึกษา</t>
  </si>
  <si>
    <t xml:space="preserve">ในแผนพัฒนามหาวิทยาลัยปีการศึกษา 2551-2555  ได้กำหนดพันธกิจต่อนักศึกษาไว้ข้อหนึ่งว่า “ปลูกฝังให้นักศึกษามีคุณธรรม มีหลักการดำเนินชีวิตและศรัทธาในความดีงามโดยยึดความพอเพียง และอยู่บนพื้นฐานของวัฒนธรรมไทย"  และพันธกิจต่อชุมชนและสังคมข้อหนึ่งว่า “ให้บริการทางวิชาการและศิลปวัฒนธรรมไทยแก่ชุมชนและอนุรักษ์สิ่งแวดล้อม” จากพันธกิจได้กำหนดกลยุทธ์หลักที่เกี่ยวกับการทำนุบำรุงศิลปวัฒนธรรมเป็นกลยุทธ์ที่ 7 คือ “บูรณาการศิลปะและวัฒนธรรมกับภารกิจด้านอื่น”
</t>
  </si>
  <si>
    <t>จัดการยกย่องผู้ที่มีผลงานด้านศิลปวัฒนธรรม โดยมอบรางวัลพระสิทธิธาดาทองคำ ซึ่งเป็นรางวัลที่ได้รับพระราชทานจากสมเด็จพระเทพรัตนราชสุดาสยามบรมราชกุมารี มีการประดิษฐ์ท่ารำเพื่อเฉลิมพระเกียรติพระบาทสมเด็จพระเจ้าอยู่หัว</t>
  </si>
  <si>
    <t>- มีเอกสารการเผยแพร่ผู้มีผลงานดีเด่นทางวัฒนธรรมระดับชาติที่ได้รับรางวัลพระสิทธิธาดาทองคำ
- มีการบริการทางวิชาการด้านการสอนนาฏศิลป์และดนตรีไทยแก่นักเรียน นักศึกษา และบุคคลทั่วไป
- ให้ข้อมูลทางด้านศิลปวัฒนธรรม เช่น การบันทึกรายการโทรทัศน์ต่างๆ ที่เข้ามาขอข้อมูลและถ่ายทำ
- จัดนิทรรศการด้านวัฒนธรรม มีนักศึกษา อาจารย์ ชาวต่างชาติเข้าเยี่ยมชมหอประวัติและพิพิธภัณฑ์ ดร.ไสว สุทธิพิทักษ์</t>
  </si>
  <si>
    <t xml:space="preserve"> มหาวิทยาลัยได้รายงานการดำเนินงานต่างๆ ที่สำคัญของมหาวิทยาลัย ในการประชุมสภามหาวิทยาลัยซึ่งกำหนดประชุมปีละ 5 ครั้ง และมหาวิทยาลัยได้เสนอผลการดำเนินงานตามตัวบ่งชี้ของโครงการและกิจกรรมที่กำหนดในแผนดำเนินงานประจำปีหลังจากสิ้นภาคการศึกษาที่ 1 และเมื่อสิ้นปีการศึกษา</t>
  </si>
  <si>
    <t>รายงานการประชุมสภามหาวิทยาลัย ปีการศึกษา 2552 ครั้งที่ 1, 2 และ 4</t>
  </si>
  <si>
    <t>รายงานการประชุมคณะกรรมการฯ ครั้งที่ 2/2552 วันที่ 12 กุมภาพันธ์ 2553</t>
  </si>
  <si>
    <t>ฝ่ายบริหารสื่อสารการตลาดรับผิดชอบการดำเนินการผลิตสื่อประชาสัมพันธ์ และรับผิดชอบการเผยแพร่ข้อมูลของมหาวิทยาลัยผ่านสื่อต่างๆ ทั้งภายในและภายนอก ได้แก่ เว็บไซต์  วารสารมธบ.สื่อสัมพันธ์  การจัดนิทรรศการ edufest</t>
  </si>
  <si>
    <t>เปิดรับฟังความคิดเห็นของประชาชนในช่องทาง Web-board  E-mail  โทรศัพท์ จดหมาย วารสาร มธบ.สื่อสัมพันธ์</t>
  </si>
  <si>
    <t xml:space="preserve">- เอกสารการขอรับอาจารย์
- เอกสารการของบประมาณ
</t>
  </si>
  <si>
    <t>เอกสารโครงการของนักศึกษาที่สำนักกิจการนักศึกษา</t>
  </si>
  <si>
    <t xml:space="preserve">- แผนการสอนวิชาองค์รวมแห่งชีวิต  
- กำหนดการปัจฉิมนิเทศนักศึกษาปีการศึกษา  2552 
</t>
  </si>
  <si>
    <t xml:space="preserve"> - มีการนำรายงานการปฏิบัติงานและประเมินผลการปฏิบัติงานของโครงการหรือกิจกรรมของนักศึกษา เข้าสู่การพิจารณาในกรรมการบริหารของสำนักกิจการนักศึกษา  
- ในระบบจัดเก็บข้อมูลคะแนนสำรวจความคิดเห็นของนักศึกษาที่มีต่อการสอนของอาจารย์ซึ่งระบุในข้อ 3 แต่ละภาคการศึกษาเมื่อประมวลคะแนนเสร็จระบบจะพิมพ์รายชื่ออาจารย์ที่มีคะแนนต่ำกว่า 3.00 ระหว่าง 3.00-3.50  ซึ่งถือว่าค่อนข้างต่ำ (จากเต็ม 5) และแสดงชื่ออาจารย์ที่มีคะแนนลดลงจากภาคการศึกษาที่ผ่านมา  รายชื่อเหล่านี้ส่งถึงคณบดีพร้อมรายละเอียดคะแนนประเมินรายบุคคล เพื่อให้คณบดีพิจารณาดำเนินการปรับปรุงแก้ไข  โดยบางคณะวิชาจัดตั้งกรรมการตรวจเยี่ยมการสอนและตรวจเยี่ยมอาจารย์ที่มีคะแนนความเห็นของนักศึกษาค่อนข้างต่ำ  สำนักงานประกันคุณภาพการศึกษาจัดให้ผู้บริหารและที่ปรึกษาตรวจเยี่ยมการสอนของอาจารย์ที่มีคะแนนค่อนข้างต่ำด้วย นอกจากนี้ความเห็นในคำถามปลายเปิดสำนักงานประกันคุณภาพการศึกษาจัดพิมพ์เสนอรองอธิการบดีฝ่ายวิชาการ อธิการบดี และส่งให้คณบดีเพื่อแจ้งให้อาจารย์ทราบต่อไป
- ระบบการร้องเรียนของนักศึกษา  มีการพิจารณาข้อร้องเรียนโดยคณะกรรมการพิจารณาคำร้องเรียนของนักศึกษา  เพื่อดำเนินการแก้ไขปัญหาตามข้อร้องเรียนแล้วจะแจ้งให้ผู้ร้องเรียนทราบผลการดำเนินการในเรื่องนั้นๆ พิจารณา ปรับปรุงระบบงานเพื่อป้องกันไม่ให้ปัญหาเกิดขึ้นอีกตามระบบ ISO และสรุปเป็นรายงานแจ้งในการประชุมกรรมการบริหารของมหาวิทยาลัย 
</t>
  </si>
  <si>
    <t xml:space="preserve">      1 = มีการดำเนินการ 1 ข้อ
      2 = มีการดำเนินการ 2 ข้อ
      3 = มีการดำเนินการครบทั้ง 5 ข้อ </t>
  </si>
  <si>
    <t>1. วางแผนพัฒนาสถานศึกษาตามแนวนโยบายสถานศึกษา  3  ดี (3D)  และส่งเสริมสนับสนุนทั้งทรัพยากร  สิ่งอำนวยความสะดวก  และบุคคล</t>
  </si>
  <si>
    <t>3. พัฒนาคณาจารย์และบุคลากรทางการศึกษา  ให้มีองค์ความรู้และทักษะการปฏิบัติงานเพื่อการพัฒนาสถานศึกษา 3  ดี (3D)  อย่างมีคุณภาพ</t>
  </si>
  <si>
    <t>4. ให้ความร่วมมือกับทุกฝ่ายในการดำเนินงานนโยบายคุณภาพสถานศึกษา  3  ดี  (3D)</t>
  </si>
  <si>
    <t>5. กำกับ  ติดตามให้สถานศึกษาพัฒนาหรือมีนวัตกรรมส่งเสริมให้การดำเนินงานเป็นไปตามมาตรฐานสถานศึกษา  3  ดี (3D)</t>
  </si>
  <si>
    <t xml:space="preserve">      1 = มีกิจกรรมสนับสนุนนโยบายสถานศึกษา 3  ดี  จำนวน 1 ด้าน
      2 = มีกิจกรรมสนับสนุนนโยบายสถานศึกษา 3 ดี จำนวน 2 ด้าน
      3 = มีกิจกรรมสนับสนุนนโยบายสถานศึกษา 3  ดี  ครบทั้ง 3  ด้าน </t>
  </si>
  <si>
    <t>- โครงสร้างการบริหารมหาวิทยาลัย
- พันธกิจของหน่วยงานให้บริการวิชาการ</t>
  </si>
  <si>
    <t xml:space="preserve">- รายงานประชุมคณะกรรมการบริหารความเสี่ยง ครั้งที่ 1/2552  วันที่ 11 พฤศจิกายน 2552  และครั้งที่ 2/2552 วันที่ 14 ธันวาคม  2552
- เอกสาร PM 42 และแบบฟอร์ม PAR
</t>
  </si>
  <si>
    <t>- เอกสารการวิเคราะห์ความเสี่ยงจากการประชุมครั้งที่ 3/2552 วันที่ 15  มกราคม 2553  
- power  point การสัมมนาการบริหารความเสี่ยง วันที่ 11 ธันวาคม 2552
- แบบฟอร์ม PAR</t>
  </si>
  <si>
    <t>- มีการดำเนินการตามกิจกรรมหรือมาตรการที่ระบุในเอกสารแสดงการวิเคราะห์ความเสี่ยง
- มีการดำเนินงานตามสิ่งที่ต้องปฏิบัติที่ระบุในส่วนที่ 3 ของแบบฟอร์ม PAR</t>
  </si>
  <si>
    <t xml:space="preserve">- เอกสารแสดงการวิเคราะห์ความเสี่ยง
- แบบฟอร์ม PAR
 </t>
  </si>
  <si>
    <t>- มีการสรุปการดำเนินงานในกิจกรรมหรือมาตรการที่จะลดความเสี่ยง จากการประชุมกรรมการบริหารความเสี่ยง ครั้งที่ 4/2552  วันที่ 4  กุมภาพันธ์ 2553  ซึ่งมีท่านอธิการบดีเป็นประธานกรรมการ
- ในระบบ ISO มีการสรุปการปฏิบัติงานในเรื่องต่างๆ รวมทั้งการปฏิบัติการป้องกันในการประชุมกรรมการบริหารของมหาวิทยาลัย</t>
  </si>
  <si>
    <t xml:space="preserve">- รายงานการประชุมคณะกรรมการบริหารความเสี่ยง ครั้งที่ 4/2552 วันที่ 4 กุมภาพันธ์  2553
- รายงานการประชุมกรรมการบริหาร ครั้งที่ 1/2553 วันที่ 4 มิถุนายน 2553
 </t>
  </si>
  <si>
    <r>
      <t>2.1 ร้อยละของจำนวนกลุ่มเรียนที่มีการแก้ไข</t>
    </r>
    <r>
      <rPr>
        <b/>
        <sz val="14"/>
        <rFont val="Browallia New"/>
        <family val="2"/>
      </rPr>
      <t>ตารางสอน</t>
    </r>
    <r>
      <rPr>
        <sz val="14"/>
        <rFont val="Browallia New"/>
        <family val="2"/>
      </rPr>
      <t>ของกลุ่มเรียนอันไม่ได้มีสาเหตุจากการวางแผนของคณะ / สาขาวิชาต่อจำนวนกลุ่มเรียนที่เปิดสอนในแต่ละภาคการศึกษา (ไม่เกินร้อยละ 8)</t>
    </r>
  </si>
  <si>
    <r>
      <t>2.2 ร้อยละของจำนวนวิชาที่มีการแก้ไข</t>
    </r>
    <r>
      <rPr>
        <b/>
        <sz val="14"/>
        <rFont val="Browallia New"/>
        <family val="2"/>
      </rPr>
      <t>ตารางสอบ</t>
    </r>
    <r>
      <rPr>
        <sz val="14"/>
        <rFont val="Browallia New"/>
        <family val="2"/>
      </rPr>
      <t>ของรายวิชาอันไม่ได้มีสาเหตุจากการวางแผนของหน่วยงาน คณะ /สาขาวิชาต่อจำนวนวิชาที่มีการสอบในแต่ละภาคการศึกษา (ไม่เกินร้อยละ 8)</t>
    </r>
  </si>
  <si>
    <t>4. ร้อยละของจำนวนนักศึกษาที่ยื่นคำร้องเกี่ยวกับปัญหาด้านตารางสอน และตารางสอบ ต่อจำนวนนักศึกษาที่ลงทะเบียนเรียนแต่ละภาคการศึกษา (ไม่เกินร้อยละ 1)</t>
  </si>
  <si>
    <t>5. ระยะเวลาในการติดประกาศตารางสอนและตารางสอบของภาคการศึกษาถัดไปก่อนสอบปลายภาคการศึกษา ยกเว้นตารางสอนและตารางสอบของนักศึกษาชั้นปีที่  1 (วัน) (ภายใน 1 สัปดาห์)</t>
  </si>
  <si>
    <t>3. ระยะเวลาที่มีการแก้ไขตารางสอนที่มีปัญหาแล้วเสร็จ นับจากวันเปิดภาคการศึกษา (วัน)  (ไม่เกิน 3 สัปดาห์)</t>
  </si>
  <si>
    <t>1. ระยะเวลาที่คณะจัดส่งประมวลการสอนและแผนการสอนทุกวิชาของคณะให้แก่สำนักวิชาการนับจากวันเปิดภาคการศึกษา (ภายใน 2 สัปดาห์)</t>
  </si>
  <si>
    <t>1. ร้อยละของจำนวนวิชาที่อาจารย์จัดทำต้นฉบับข้อสอบส่งสำนักวิชาการตรงตามกำหนดเวลาต่อจำนวนวิชาที่เปิดสอนใน  แต่ละภาคการศึกษา  (ไม่รวมวิชาที่เป็นBlock Course) (ไม่ต่ำกว่าร้อยละ 90)</t>
  </si>
  <si>
    <t>(6)</t>
  </si>
  <si>
    <t>(1)</t>
  </si>
  <si>
    <t>(9)</t>
  </si>
  <si>
    <t>(7)</t>
  </si>
  <si>
    <t>(2)</t>
  </si>
  <si>
    <t>(10)</t>
  </si>
  <si>
    <t>(3)</t>
  </si>
  <si>
    <t>(4)</t>
  </si>
  <si>
    <t>(5)</t>
  </si>
  <si>
    <t xml:space="preserve">    -  หลักสูตรที่ครบกำหนดต้องปรับแต่ไม่ได้ปรับ</t>
  </si>
  <si>
    <t>ตรี รปศ. (2547) 
โท รปศ.   (2547)</t>
  </si>
  <si>
    <t>ตรี การออกแบบเชิงโต้ตอบ (2549)</t>
  </si>
  <si>
    <t>เอก นิติ (2547)</t>
  </si>
  <si>
    <t>MBA (2549)
MBI (2547)
DBI (2547)
DBA (2548)</t>
  </si>
  <si>
    <t>ตรี = 4
โท = 8
เอก = 5</t>
  </si>
  <si>
    <t>โท การจัดการโทรคมนาคม (2548)
โท เทคโนโลยีคอมพิว  เตอร์และการสื่อสาร (2549)
โท การจัดการโซ่อุปทาน (2549)</t>
  </si>
  <si>
    <t>โท เศรษฐ 
ศาสตร์ (2548)
โท การจัดการการศึกษา (2549)
เอก บริหาร (2549)
เอก นิเทศ (2549)</t>
  </si>
  <si>
    <t>ตรี ศิลปะการ  แสดง (2548)
ตรี คอมพิว  เตอร์กราฟิก (2548)</t>
  </si>
  <si>
    <t xml:space="preserve">รายงานการประชุมกรรมการสภามหาวิทยาลัย ครั้งที่ 1, 2, 4 และ 5
</t>
  </si>
  <si>
    <t>มีการรายงานผลการดำเนินโครงการที่หน่วยงานต่างๆ จัดขึ้นเพื่อผลักดันกลยุทธ์ย่อยในความรับผิดชอบของตนเอง และรายงานผลการดำเนินการตามแผนพัฒนามหาวิทยาลัยต่อกรรมการสภามหาวิทยาลัยธุรกิจบัณฑิตย์ ดังนี้
- ครั้งที่ 1/2552 วันที่ 24 มิถุนายน 2552 วาระ 3.1 รายงานความคืบหน้าในการปฏิบัติตามแผนพัฒนามหาวิทยาลัย พ.ศ.2551-2555  และ วาระ 6.2 ประเมินแผนพัฒนามหาวิทยาลัยธุรกิจบัณฑิตย์ของการดำเนินงานครึ่งปีการศึกษา 2551
- ครั้งที่ 2/2552 วันที่ 23 กันยายน 2552 วาระ 3.5 การประเมินแผนพัฒนามหาวิทยาลัยสำหรับการดำเนินงานของปีการศึกษา 2551
- ครั้งที่ 4/2552 วันที่ 23 ธันวาคม 2552 วาระ 3.3 รายงานผลการดำเนินงานตามแผนพัฒนามหาวิทยาลัย ภาคการศึกษาที่ 1/2552 และ วาระ 4.4 การปรับตัวบ่งชี้ในแผนพัฒนามหาวิทยาลัย พ.ศ.2551-2555
- ครั้งที่ 5/2552 วันที่ 24 มีนาคม 2553 วาระ 3.1 การปรับแก่ค่าเป้าหมายของตัวบ่งชี้</t>
  </si>
  <si>
    <t xml:space="preserve">รายงานการประชุมกรรมการสภามหาวิทยาลัย ครั้งที่ 4 วันที่ 23 ธันวาคม 2552 และ ครั้งที่ 5 วันที่ 24 มีนาคม 2553
</t>
  </si>
  <si>
    <t>- เอกสารประมวลการสอนและแผนการสอนวิชาต่างๆ
- แผนพัฒนามหาวิทยาลัย ปีการศึกษา 2551-2555</t>
  </si>
  <si>
    <t>- เอกสารประมวลการสอนและแผนการสอน
-  ระบบ DPULSS ใน website
- แผนพัฒนามหาวิทยาลัย ปีการศึกษา 2551-2555</t>
  </si>
  <si>
    <t>- แบบฟอร์มการสำรวจความคิดเห็นของนักศึกษาที่มีต่อการสอนของอาจารย์กลางภาค
- portfolio การสอนของอาจารย์ที่ได้รับการรับรองคุณภาพการสอน
- เอกสารการวิจัยในชั้นเรียนที่นำเสนอในเวทีการวิจัยในชั้นเรียน</t>
  </si>
  <si>
    <t>- เช่นเดียวกับการดำเนินงานในข้อ 2 และ ข้อ 3
- มีการสำรวจความคิดเห็นของนักศึกษาที่มีต่อการสอนของอาจารย์กลางภาคเพื่อให้อาจารย์ปรับการจัดการเรียนการสอนให้สนองตอบต่อความต้องการของผู้เรียน
- อาจารย์ที่รับรองคุณภาพการสอนมีการวิจัยในชั้นเรียนเพื่อศึกษาพฤติกรรมในการเรียนรู้ของนักศึกษา และมีการวิเคราะห์ผู้เรียน
- ปีการศึกษา 2552 มีผลงานวิจัยในชั้นเรียนที่ศึกษาความพึงพอใจและความต้องการของผู้เรียนจำนวน 2  เรื่อง คือ การเปรียบเทียบเจตคติที่มีต่อการจัดการความดีของนักศึกษาก่อนเรียนและหลังเรียนวิชาการจัดการความดี และการประเมินรายวิชาจิตสำนึกสาธารณะเพื่อชุมชนเพื่อพัฒนาวิธีสอน</t>
  </si>
  <si>
    <t>เอกสารแสดงการประมวลข้อมูลการสำรวจความคิดเห็นของนักศึกษาที่มีต่อการสอนของอาจารย์ และเอกสารแสดงแนวโน้มของคะแนนความคิดเห็นเป็นรายบุคคลและคณะวิชา</t>
  </si>
  <si>
    <t>- เช่นเดียวกับในข้อ 6
- เอกสารการจัดอบรมเทคนิคการสอนระดับอุดมศึกษา
- ใบประเมินการเยี่ยมชั้นเรียน
- เอกสารโครงการรับรองคุณภาพการสอน 
- เอกสารการจัดกิจกรรมชุมชนผู้สอนคุณภาพ
- สรุปเนื้อหาจากการจัดสนทนาวิชาการในระบบการจัดการความรู้
- คำสั่งแต่งตั้งคณะกรรมการเยี่ยมชั้นเรียนของคณะวิชา</t>
  </si>
  <si>
    <t>คำสั่งแต่งตั้งกรรมการพัฒนาหรือปรับปรุงหลักสูตรของแต่ละหลักสูตร</t>
  </si>
  <si>
    <t>- เอกสารสรุปสถิติเวลาการปฏิบัติงานของบุคลากร
- เอกสารลงนามการเข้าสอน สำนักงานประกันคุณภาพการศึกษานำใบลงนามมาสรุป หากมีอาจารย์งดสอนจะส่งข้อมูลให้คณบดี
- แบบฟอร์มในคำร้อง website มหาวิทยาลัย และคำสั่งแต่งตั้งคณะกรรมการพิจารณาการร้องเรียน
- แบบฟอร์มการสำรวจความคิดเห็นของนักศึกษาที่มีต่อการสอนของอาจารย์ และเอกสารการวิเคราะห์คะแนนประเมินจากนักศึกษา</t>
  </si>
  <si>
    <t>- ในการประเมินผลการปฏิบัติงานประจำปี ผู้บริหารต้องเชิญผู้ถูกประเมินมารับฟังผลการประเมินและลงนามเห็นชอบผลการประเมิน ซึ่งเป็นการกำกับ การป้องกัน และการแก้ไขการกระทำผิดจรรยาบรรณวิชาชีพ 
- ในการประเมินผลการเรียนของนักศึกษา วิชาที่มีการสอนหลายกลุ่มจะใช้ข้อสอบชุดเดียวกัน ตัดเกรดร่วมกัน และผลการศึกษาต้องผ่านคณะกรรมการวิชาการประจำสาขาวิชาเพื่อให้เกิดความยุติธรรม โปร่งใสในการประเมินผลการเรียนของนักศึกษา หากมีการขอแก้ไขเกรดจากความผิดพลาดในการรวมคะแนนหรือเหตุอื่นใด ต้องเข้าชี้แจงต่อกรรมการสอบสวนที่มีรองอธิการบดีฝ่ายวิชาการเป็นประธาน ระบบดังกล่าวเป็นการป้องกันการกระทำผิดจรรยาบรรณของอาจารย์
- มีระบบการร้องเรียนและมีกรรมการพิจารณาข้อร้องเรียนตามที่ระบุในข้อ 3 ซึ่งเป็นการป้องกันและเป็นระบบแก้ไขการกระทำผิดจรรยาบรรณของอาจารย์
- ในการคัดเลือกอาจารย์ นอกจากพิจารณาจากคุณวุฒิและประสบการณ์ส่วนตัวแล้วยังพิจารณาถึงทัศนคติความเป็นครู การทำงานร่วมกับผู้อื่น ความรับผิดชอบ และการเป็นบุคลากรที่พึงประสงค์ขององค์กร ในช่วงการทดลองงานมีการประเมิน 2 ครั้ง เมื่อครบ 4 เดือน และ 1 ปี ทั้งการคัดเลือกและการทดลองงานเป็นการพิจารณาในรูปของคณะกรรมการโดยมีรองอธิการบดีฝ่ายวิชาการเป็นประธาน ประเด็นการคัดเลือกอาจารย์ได้มีการวิเคราะห์ในการบริหารความเสี่ยงด้วย</t>
  </si>
  <si>
    <t xml:space="preserve">- ประกาศและคำสั่งที่เกี่ยวกับการจ่ายเงินค่าตอบแทนและเงินรางวัลต่างๆ
- รายงานการประชุมคณะวิชา
- แบบฟอร์มการประเมินผลการปฏิบัติงานของอาจารย์
- รายงานการสอบสวนการแก้ไขเกรด
</t>
  </si>
  <si>
    <t xml:space="preserve"> - แบบฟอร์มการสัมภาษณ์และสอบสอน
- แบบฟอร์มการประเมินในช่วงทดลองงาน
- เอกสารการวิเคราะห์การบริหารความเสี่ยง</t>
  </si>
  <si>
    <t xml:space="preserve"> ในการประชุมคณะกรรมการประจำสำนักกิจการนักศึกษาและการประชุมแผนก หัวหน้าแผนกจะสรุปผลการดำเนินงานที่ผ่านมาและนำสรุปโครงการต่างๆ มาเสนอประกอบการวางแผนและปรับเปลี่ยนการดำเนินงานจัดกิจกรรมในครั้งถัดไป โดยมีการปรับกลยุทธ์การดำเนินงานให้เหมาะสมอย่างสม่ำเสมอ</t>
  </si>
  <si>
    <t>- สรุปโครงการ FM 23-2 สำหรับโครงการที่ใช้งบประมาณของสโมสรนักศึกษา  
- รายงานการดำเนินกิจกรรมของชมรมและกลุ่มกิจกรรมต่างๆ 
-รายงานการประชุมคณะกรรมการประจำสำนักกิจการนักศึกษา</t>
  </si>
  <si>
    <t>- เอกสารข้อมูลการใช้เว็บ KM
- เอกสารการสนทนาวิชาการ
- เอกสาร QA series
- เอกสารการประเมินกิจกรรมการแลกเปลี่ยนเรียนรู้</t>
  </si>
  <si>
    <t xml:space="preserve"> - มหาวิทยาลัยแต่งตั้งคณะกรรมการบริหารความเสี่ยงซึ่งประกอบด้วยอธิการบดี  รองอธิการบดีทุกฝ่าย  คณบดีคณะการบัญชี (เป็นคณะที่จัดทำระบบบริหารความเสี่ยงได้ดีมาก)  และผู้อำนวยการสำนักตรวจสอบภายใน
- อธิการบดีเป็นผู้กำหนดกรอบในการบริหารความเสี่ยงโดยให้กำหนดเกณฑ์ว่าเรื่องใดจะถือเป็นความเสี่ยงต่อเมื่อโอกาสที่จะเกิดขึ้นน้อยมาก (กำหนดเป็นค่าความน่าจะเป็น) และเมื่อเกิดแล้วส่งผลเสียหายต่อมหาวิทยาลัย (กำหนดเทียบเป็นจำนวนเงิน) หากไม่เข้าเกณฑ์ที่กำหนดจะถือเป็นปัญหาในการดำเนินงาน</t>
  </si>
  <si>
    <t xml:space="preserve"> - คำสั่งแต่งตั้งคณะกรรมการบริหารความเสี่ยง
- รายงานการประชุมคณะกรรมการบริหารความเสี่ยง ครั้งที่ 1/2552 วันที่ 11 พฤศจิกายน 2552 และ ครั้งที่ 2/2552 วันที่ 14 ธันวาคม 2552</t>
  </si>
  <si>
    <t xml:space="preserve">- เอกสารต่างๆ ของระบบ ISO
- คู่มือการประกันคุณภาพการศึกษาภายใน มหาวิทยาลัยธุรกิจบัณฑิตย์
- แผนพัฒนามหาวิทยาลัย ปีการศึกษา 2551-2555
- แบบฟอร์มประเมินบุคลากรและผู้บริหารที่ฝ่ายทรัพยากรบุคคล
- รายงานการสำรวจความพึงพอใจของบุคลากรที่มีต่อการดำเนินงานหน่วยงานต่างๆ ของมหาวิทยาลัย ปีการศึกษา 2552
</t>
  </si>
  <si>
    <t xml:space="preserve"> - ในแผนพัฒนามหาวิทยาลัย ปีการศึกษา 2551-2555 มีการกำหนดตัวบ่งชี้และเป้าหมายในแต่ละปี
- ตัวบ่งชี้ของระบบ ISO กำหนดเป้าหมายไว้ชัดเจนในแต่ละงาน
- เป้าหมายของตัวบ่งชี้ของ สกอ. ผ่านการอนุมัติจากสภามหาวิทยาลัยในการประชุมครั้งที่ 2/2552 วันที่23 กันยายน 2552</t>
  </si>
  <si>
    <t xml:space="preserve"> - แผนพัฒนามหาวิทยาลัยได้กำหนดหน่วยงานที่รับผิดชอบในแต่ละกลยุทธ์ย่อย
- คณะวิชาและหน่วยงานจัดทำ Strategy map จากกลยุทธ์ย่อยของมหาวิทยาลัย และทำแผนปฏิบัติงานประจำปีโดยต้องระบุว่ากิจกรรมหรือโครงการที่กำหนดในแผนสอดคล้องกับกลยุทธ์ย่อยใด และต้องกำหนดตัวบ่งชี้และเป้าหมาย</t>
  </si>
  <si>
    <t xml:space="preserve"> - แผนพัฒนามหาวิทยาลัยปีการศึกษา 2551-2555
- แบบฟอร์มการจัดทำแผนปฏิบัติการประจำปีของคณะวิชาและหน่วยงาน</t>
  </si>
  <si>
    <t xml:space="preserve"> - เช่นเดียวกับคำอธิบายในข้อ 4
- มีการประชุมผู้บริหารและกรรมการอำนวยการโดยให้คณบดีนำเสนอแผนพัฒนาคณะวิชาที่เชื่อมโยงกับแผนพัฒนามหาวิทยาลัย</t>
  </si>
  <si>
    <t xml:space="preserve"> - เอกสารแสดงการติดตามการดำเนินงานตามแผนของฝ่ายแผนงาน
- เอกสารสรุปผลการปฏิบัติงานเพื่อเสนอสภามหาวิทยาลัยของฝ่ายแผนงาน</t>
  </si>
  <si>
    <t>เอกสารแสดงค่าตัวบ่งชี้ที่เป็นผลการดำเนินงานเทียบกับเป้าหมายของฝ่ายแผนงาน</t>
  </si>
  <si>
    <t xml:space="preserve"> - เอกสารแสดงการพิจารณาขั้นเงินเดือนที่ฝ่ายทรัพยากรบุคคล
- เอกสารแสดงการให้เงินรางวัลที่ฝ่ายทรัพยากรบุคคล</t>
  </si>
  <si>
    <t xml:space="preserve">- คู่มือการเขียนรายงานการประเมินตนเอง (ปีการศึกษา 2549)
- คู่มือการประกันคุณภาพการศึกษาภายใน มหาวิทยาลัยธุรกิจบัณฑิตย์ (ปีการศึกษา 2550-2551)
- คู่มือการประกันคุณภาพการศึกษาภายใน มหาวิทยาลัยธุรกิจบัณฑิตย์ (ปีการศึกษา 2552)      
- ใบรองรับ ISO 9001:2008 ของ BVQI
- แผนพัฒนามหาวิทยาลัย ปีการศึกษา 2551-2555
</t>
  </si>
  <si>
    <t>มหาวิทยาลัยมีระบบฐานข้อมูลที่สนับสนุนการประกันคุณภาพ เช่น ฐานข้อมูลนักศึกษา ฐานข้อมูลบุคลากร ฐานข้อมูลการเงิน ฐานข้อมูลผลการวิจัย และในปีการศึกษา 2551 ได้จัดซื้อระบบ FIS จากมหาวิทยาลัยแม่โจ้ และเริ่มใช้งานในปีการศึกษา 2552  โดยมีการกรอกข้อมูลจากระดับบุคคลมาเป็นระดับภาควิชา และคณะวิชาเพื่อจัดทำรายงานประเมินตนเอง</t>
  </si>
  <si>
    <t xml:space="preserve"> - รายชื่อผู้ตรวจติดตามระบบ ISO
- รายชื่อผู้ประเมินระดับภาควิชาและคณะวิชา 
- หนังสือขอดูงานจากมหาวิทยาลัยอื่น</t>
  </si>
  <si>
    <t xml:space="preserve"> ในการจัดโครงการนักศึกษาในครั้งต่อไป นักศึกษาได้นำผลการประเมินโครงการจากปีที่ผ่านมามาปรับปรุงการจัดโครงการ เช่น โครงการถวายเทียนพรรษา ปี 2552 ได้นำผลการประเมินโครงการเดิมที่เสนอว่าควรเสนอขออนุมัติจัดโครงการให้เร็วขึ้นเพื่อสะดวกในการจัดซื้ออุปกรณ์ในการดำเนินงาน</t>
  </si>
  <si>
    <t>สรุปโครงการถวายเทียนพรรษา ประจำปี 2552</t>
  </si>
  <si>
    <t xml:space="preserve"> - สำนักกิจการนักศึกษานำผลการประเมินการปฏิบัติงานของกิจกรรมนักศึกษาไปให้ความรู้กับสโมสรนักศึกษาและกรรมการชมรมต่างๆ เช่น โครงการสัมมนาอาจารย์ที่ปรึกษาและผู้นำนักศึกษา ประจำปี 2552
- พิจารณานำผลการสำรวจความคิดเห็นของนักศึกษาที่มีต่อการสอนของอาจารย์ไปใช้ในการปฐมนิเทศนักศึกษาใหม่ในการให้ข้อมูลเกี่ยวกับการสอนตามสภาพจริง
- ปรับปรุงเนื้อหาของหัวข้อการประกันคุณภาพการศึกษาในวิชาองค์รวมแห่งชีวิต และปรับเนื้อหาในการปัจฉิมนิเทศนักศึกษาในหัวข้อการประกันคุณภาพการศึกษา
</t>
  </si>
  <si>
    <t xml:space="preserve">- คู่มือการประกันคุณภาพการศึกษาภายในมหาวิทยาลัยธุรกิจบัณฑิตย์ (ปีการศึกษาต่างๆ)
- เอกสาร PM ของระบบ ISO  
- รายงานประชุมคณะกรรมการบริหารระบบการประกันคุณภาพการศึกษา
- เอกสาร PM ที่ปรับแก้และเริ่มใช้ 15 พฤษภาคม 2553 
</t>
  </si>
  <si>
    <t>- มหาวิทยาลัยได้มีการปรับปรุงระบบประกันคุณภาพให้สอดคล้องกับลักษณะของการดำเนินงานทั้งในระดับมหาวิทยาลัย และระดับหน่วยงาน โดยปรับปรุงตัวบ่งชี้ทุกปีการศึกษา ส่วนระบบบริหารคุณภาพสากล ISO แต่ละหน่วยงานจะต้องพิจารณาตัวบ่งชี้ให้เข้ากับการทำงานของตน และปรับตัวบ่งชี้ให้มีความท้าทายมากขึ้น เนื่องจากตัวบ่งชี้เดิมได้บรรลุผลสำเร็จแล้ว
-  จัดประชุมคณะกรรมการบริหารระบบการประกันคุณภาพการศึกษาของมหาวิทยาลัยทุกเดือนเพื่อพิจารณาปรับปรุงระบบประกันคุณภาพการศึกษาภายใน
- จัดประชุมเชิงปฏิบัติการเพื่อปรับปรุงขั้นตอนการปฏิบัติงาน เอกสารและตัวบ่งชี้ เมื่อวันที่ 7 เมษายน  2553</t>
  </si>
  <si>
    <t xml:space="preserve"> - มีคณะกรรมการบริหารคุณภาพ
- มีการกำหนดนโยบายคุณภาพประจำปีการศึกษา
- มีผู้ตรวจติดตามประเมินคุณภาพภายในซึ่งมาจากทุกหน่วยงาน
- มีคณะกรรมการต่างๆ เพื่อปฏิบัติภารกิจเกี่ยวกับการประกันคุณภาพ เช่น คณะกรรมการรับเรื่องร้องเรียนจากนักศึกษา โดยกรรมการมาจากหน่วยงานต่างๆ
- มีการรายงานผลการดำเนินงานตามระบบบริหารคุณภาพตามช่วงเวลาที่เหมาะสมต่อที่ประชุมผู้บริหารที่มีการประชุมทุกเดือน
- มีผู้ตรวจจากบริษัท BVQI มาตรวจระบบประกันคุณภาพ ISO ทุก 6 เดือน ซึ่งเป็นส่วนหนึ่งของระบบการประกันคุณภาพภายในของมหาวิทยาลัย และผู้ตรวจได้ขอตรวจรายงานการประเมินตนเองของหน่วยงานด้วย ในการตรวจผู้ตรวจจะให้ข้อเสนอแนะเกี่ยวกับตัวบ่งชี้และการปรับปรุงกระบวนการทำงาน
- ปีการศึกษา 2552 จัดตั้งคณะกรรมการบริหารระบบการประกันคุณภาพการศึกษาภายใน ประกอบด้วย ผู้ที่มีส่วนเกี่ยวข้องกับระบบข้อมูล การจัดทำและติดตามแผน ระบบ ISO และผู้แทนจากหน่วยงานที่จัดการเรียนการสอน ผู้แทนหน่วยงานสนับสนุน และผู้แทนสโมสรนักศึกษา</t>
  </si>
  <si>
    <t xml:space="preserve"> - ผลการประกันคุณภาพจะรายงานต่อกรรมการบริหาร กรรมการอำนวยการ และสภามหาวิทยาลัย 
- มหาวิทยาลัยได้จัดส่งรายงานการประเมินตนเองให้แก่ สกอ. ทันตามเวลาที่กำหนดโดย สกอ. คือ ภายในเดือนกันยายนมาตลอดทุกปี
</t>
  </si>
  <si>
    <t xml:space="preserve"> - แผนพัฒนามหาวิทยาลัยปีการศึกษา 2551-2555
- เอกสาร PM ต่างๆ ของระบบ ISO
- รายงานการประชุมสภามหาวิทยาลัย ครั้งที่ 2/2552</t>
  </si>
  <si>
    <t xml:space="preserve">2. จัดการเรียนรู้  จัดกิจกรรมด้านประชาธิปไตย  ด้านคุณธรรม  จริยธรรม และด้านภูมิคุ้มกันภัยจากยาเสพติด
</t>
  </si>
  <si>
    <t xml:space="preserve"> - รายงานการประชุมคณะกรรมการอำนวยการรับสมัครและสอบคัดเลือกนักศึกษาใหม่   
- รายงานการประชุมกรรมการวิชาการ ครั้งที่ 1/2552 วันที่ 18 มิถุนายน 2552</t>
  </si>
  <si>
    <t xml:space="preserve">- คำสั่งแต่งตั้งคณะกรรมการวิจัยของมหาวิทยาลัยที่ 0102/0207
- โครงสร้างการบริหารงานของสายงานวิจัย
- www.dpu.ac.th/research
- บันทึกการประชุมคณะกรรมการวิจัย ครั้งที่ 3/2552 วันที่ 18 กุมภาพันธ์ 2553
</t>
  </si>
  <si>
    <t xml:space="preserve">- มีการจัดอบรม/สัมมนาเกี่ยวกับงานวิจัยให้กับบุคลากร 4 ครั้ง ได้แก่ การวิเคราะห์และการสังเคราะห์งานวิจัย  การวิจัยประเมินหลักสูตร  การวิจัยในชั้นเรียนจากงานประจำสู่งานวิจัย และการอบรมโปรแกรม R
- มีชุมชนนักวิจัยของมหาวิทยาลัย เพื่อการแลกเปลี่ยนเรียนรู้ในเรื่องของงานวิจัย 
  โดยปัจจุบันได้มีการรวบรวมสมาชิกเพื่อขับเคลื่อนงานวิจัยให้เป็นรูปธรรม      
- ให้ค่าตอบแทนรายเดือนนักวิจัยในระหว่างทำงานวิจัยและให้รางวัลสำหรับ
  งานวิจัยที่ได้รับการประเมินคุณภาพอยู่ในระดับดีขึ้นไป 
- จัดสรรงบประมาณสนับสนุนการเผยแพร่งานวิจัยของบุคลากรทั้งภายในและ
  ต่างประเทศ
- ส่งบุคลากรศูนย์วิจัยไปอบรมเทคนิคการวิจัยใหม่ๆ เพื่อเพิ่มพูนความรู้ และ
  นำมาพัฒนาการวิจัยของมหาวิทยาลัย  
</t>
  </si>
  <si>
    <r>
      <t>- แผนงานประจำปีของศูนย์วิจัย
- เอกสารโครงการชุมชนนักวิจัย
- งบประมาณประจำปีของศูนย์วิจัย</t>
    </r>
    <r>
      <rPr>
        <sz val="16"/>
        <color rgb="FFFF0000"/>
        <rFont val="Browallia New"/>
        <family val="2"/>
      </rPr>
      <t xml:space="preserve">
</t>
    </r>
    <r>
      <rPr>
        <sz val="16"/>
        <rFont val="Browallia New"/>
        <family val="2"/>
      </rPr>
      <t xml:space="preserve">- บันทึกการเข้าร่วมอบรมของบุคลากรศูนย์วิจัย
</t>
    </r>
  </si>
  <si>
    <r>
      <t xml:space="preserve"> - ประกาศทุนสนับสนุนการวิจัยจากหน่วยงานต่างๆ ในเว็บไซต์ของศูนย์วิจัย และสัญญาการรับทำวิจัยจากหน่วยงานภายนอก</t>
    </r>
    <r>
      <rPr>
        <sz val="16"/>
        <color rgb="FFFF0000"/>
        <rFont val="Browallia New"/>
        <family val="2"/>
      </rPr>
      <t xml:space="preserve">
</t>
    </r>
    <r>
      <rPr>
        <sz val="16"/>
        <rFont val="Browallia New"/>
        <family val="2"/>
      </rPr>
      <t xml:space="preserve">- แผนงานและการดำเนินงานการจัดประชุมวิชาการด้านต่างๆ
- เอกสารเครือข่ายวิจัย "ประชาชื่น"
</t>
    </r>
  </si>
  <si>
    <t>แผนการดำเนินงานโดยจัดทำเป็นปฏิทินการดำเนินงานประกอบด้วยโครงการ  15 โครงการ</t>
  </si>
  <si>
    <t>แผนการดำเนินงานและปฏิทินการจัดงานประจำปีการศึกษา 2552 ของศูนย์วัฒนธรรม</t>
  </si>
  <si>
    <t xml:space="preserve"> ปีการศึกษา 2552 ได้จัดทำโครงการและกิจกรรมต่างๆ ที่บูรณาการศิลปะและวัฒนธรรมกับภารกิจด้านอื่น ซึ่งกำหนดอยู่ในตัวบ่งชี้ตามแผนพัฒนามหาวิทยาลัย ดังนี้
     1) จำนวนรายวิชาที่มีโครงงานที่เกี่ยวกับวัฒนธรรม 38 รายวิชา
     2) จำนวนรายวิชาเลือกทางด้านศิลปะและวัฒนธรรม 4 รายวิชา
     3) จำนวนผลงานวิจัยที่เกี่ยวกับศิลปะและวัฒนธรรม 3 ชิ้น
     4) จำนวนกิจกรรมด้านบริการวิชาการที่เกี่ยวกับศิลปะและวัฒนธรรม 23 กิจกรรม</t>
  </si>
  <si>
    <t xml:space="preserve"> - รายงานประชุมกรรมการบริหาร ครั้งที่ 3/2552 วันที่ 21 สิงหาคม 2552 และครั้งที่ 5/2552 วันที่ 30 ตุลาคม 2552 
- รายงานประชุมสภามหาวิทยาลัย ครั้งที่ 2 วันที่ 23 กันยายน 2552
- รายงานประจำปี  </t>
  </si>
  <si>
    <t xml:space="preserve"> - รายงานประชุมกรรมการบริหาร ครั้งที่ 5/2552 วันที่ 30 ตุลาคม 2552
- รายงานการประเมินตนเอง  
</t>
  </si>
  <si>
    <t xml:space="preserve">- รายงานการประเมินคุณภาพภายนอกรอบสอง
- ใบประกาศเกียรติคุณจาก สกอ. ผลงาน "การรับรองคุณภาพการสอนของอาจารย์" 
-  รายงานประชุมกรรมการบริหาร ครั้งที่ 6/2552 วันที่ 27 พฤศจิกายน 2552 
</t>
  </si>
  <si>
    <t>3 ด้าน</t>
  </si>
  <si>
    <t>มีกิจกรรมสนับสนุนนโยบายสถานศึกษา 3  ดี  จำนวน 3 ด้าน</t>
  </si>
  <si>
    <t>โครงการ/กิจกรรมของสำนักกิจการนักศึกษา</t>
  </si>
  <si>
    <t>- แผนพัฒนามหาวิทยาลัย ปีการศึกษา 2551-2555
- แผนประจำปีของศูนย์ธุรกิจวิทยบริการ ศูนย์ ADCC สถาบันพัฒนานักวิชาชีพบัญชี และศูนย์วัฒนธรรม
- คำสั่งแต่งประธานและกรรมการเครือข่าย</t>
  </si>
  <si>
    <t>- มีการกำหนดนโยบาย แผนกลยุทธ์ในการบริการทางวิชาการแก่องค์กรทั้งภาครัฐ และเอกชนโดยดำเนินการผ่านหน่วยงานของมหาวิทยาลัย คือ ศูนย์ธุรกิจวิทยบริการ ศูนย์นิเทศศาสตร์พัฒนาการแห่งเอเชียและแปซิฟิก (ADCC) สถาบันพัฒนานักวิชาชีพบัญชี และศูนย์วัฒนธรรม
- มีการจัดตั้งเครือข่ายในการให้บริการทางวิชาการแก่สังคมจำนวน 6 เครือข่าย ได้แก่  
     -  เครือข่ายสถาบันการศึกษาในประเทศ 
     -  เครือข่ายสถาบันการศึกษาในต่างประเทศ
     -  เครือข่ายสถานประกอบการ  
     -  เครือข่ายศิษย์เก่า 
     -  เครือข่ายชุมชน  
     -  เครือข่ายส่วนราชการ  
  เพื่อพัฒนาช่องทางในการให้บริการแก่กลุ่มเป้าหมายที่เฉพาะเจาะจง</t>
  </si>
  <si>
    <t>มีหน่วยงานให้บริการวิชาการ คือ ศูนย์ธุรกิจวิทยบริการ ศูนย์  ADCC สถาบันพัฒนานักวิชาชีพบัญชี และศูนย์วัฒนธรรม</t>
  </si>
  <si>
    <t>มีการประเมินผลในระดับหน่วยงานทั้งการประเมินผลสำเร็จของโครงการและความพึงพอใจของผู้รับบริการ และการประเมินผลการดำเนินงานตามตัวบ่งชี้ของแผนพัฒนามหาวิทยาลัยใยแต่ละปี</t>
  </si>
  <si>
    <t>สรุปผลการดำเนินโครงการของคณะและหน่วยงานในทุกโครงการที่นำส่งแก่รองอธิการบดีตามสายการบังคับบัญชา</t>
  </si>
  <si>
    <t>จากข้อสังเกตในการดำเนินกิจกรรมให้บริการวิชาการในระดับมหาวิทยาลัยทำให้เกิดแนวคิดในการจัดตั้งหน่วยงานที่ดูแลรับผิดชอบการให้บริการวิชาการแบบทั่วทั้งองค์กรซึ่งอยู่ในขั้นตอนการศึกษาขอบเขตงาน ภารกิจ และรูปแบบหน่วยงาน</t>
  </si>
  <si>
    <t>รายงานการศึกษาการจัดตั้งหน่วยงานพัฒนาธุรกิจและบริหารเครือข่ายของศูนย์ธุรกิจวิทยบริการ</t>
  </si>
  <si>
    <t xml:space="preserve">- แผนพัฒนามหาวิทยาลัย ปีการศึกษา  2551-2555
- แบบฟอร์มการเสนอโครงการบริการวิชาการ  
- เอกสารการพัฒนาหลักสูตรของคณะการบัญชี
- คำสั่งแต่งตั้งคณะกรรมการเครือข่ายชุมชน
- แผนการปฏิบัติงานของเครือข่ายชุมชน  
- เอกสารของศูนย์พัฒนาซอฟต์แวร์
- โครงการ UMAP
- เอกสารการปฏิบัติงานของศูนย์วัฒนธรรม
</t>
  </si>
  <si>
    <t xml:space="preserve">- การประชุมกรรมการวิชาการ ครั้งที่ 5/2552 วันที่ 8 ตุลาคม 2552
- โครงสร้างการบริหารงานมหาวิทยาลัยธุรกิจบัณฑิตย์ ณ วันที่ 1 มิถุนายน 2553
- โครงสร้างการบริหารมหาวิทยาลัย </t>
  </si>
  <si>
    <t xml:space="preserve">1. การบริหารจัดการสถานศึกษา 3  ดี (3D)
</t>
  </si>
  <si>
    <t xml:space="preserve">2. ผลที่เกิดกับผู้เรียนตามนโยบาย 3 ดี (3D) มีความรู้ เจตนคติที่ดี ตลอดจนเกิดพฤติกรรม
</t>
  </si>
  <si>
    <t>2.2 องค์ประกอบตามนโยบายรัฐบาล "สถานศึกษา 3 ดี (3D)"</t>
  </si>
  <si>
    <t>2.3 ระบบบริหารคุณภาพมาตรฐานสากล ISO 9001:2008</t>
  </si>
  <si>
    <t xml:space="preserve">เอกสารการประเมินแผนพัฒนามหาวิทยาลัยธุรกิจบัณฑิตย์ ประจำปี 2552 </t>
  </si>
  <si>
    <t>แต่ละหลักสูตรมีกรรมการวิชาการที่ประชุมเป็นประจำ ภาคการศึกษาละ  2 ครั้ง เพื่อพิจารณาข้อสอบและอนุมัติผลการศึกษาของนักศึกษาของแต่ละวิชา ในการประชุมแต่ละครั้งคณะกรรมการจะพิจารณาประเมินหลักสูตรในแง่มุมต่างๆ เช่น รายวิชาที่เปิดสอน เนื้อหาในรายวิชา และอาจารย์ผู้สอน เป็นต้น</t>
  </si>
  <si>
    <r>
      <t>- มีวิชาสหกิจศึกษาที่นักศึกษาออกไปปฏิบัติงานในสถานประกอบการ 1 ภาคการศึกษา มีวิชาฝึกงานตามจำนวนชั่วโมงที่กำหนด
- มีการศึกษาดูงานยังหน่วยงานภายนอก
- คณะเทคโนโลยีสารสนเทศร่วมกับสถาบันวิชาการทีโอทีใ</t>
    </r>
    <r>
      <rPr>
        <sz val="16"/>
        <color theme="1"/>
        <rFont val="Browallia New"/>
        <family val="2"/>
      </rPr>
      <t xml:space="preserve">นการสอนวิชา GT 208 การเขียนแผนธุรกิจสำหรับธุรกิจสื่อโต้ตอบและเกม โดยทำการเรียนการสอนที่อาคารกาญจนาภิเษก ชั้น 3  สถาบันวิชาการทีโอที </t>
    </r>
  </si>
  <si>
    <t>ร้อยละ ศ+รศ+ผศ = 17.44
ร้อยละ ศ+รศ = 4.98</t>
  </si>
  <si>
    <t xml:space="preserve">-  มีการรับรองคุณภาพการสอน โดยการพิจารณาว่าอาจารย์รายใดจะได้รับการรับรองระดับดีมากต้องมีนวัตกรรมในการเรียนการสอน
-  จัดสนทนาวิชาการ 3  ครั้งต่อภาคการศึกษา เพื่อให้อาจารย์ได้นำเสนอประสบการณ์การสอน ได้ทราบวิธีการใหม่ๆ ในการสอนและแลกเปลี่ยนความคิดเห็นในเรื่องการเรียนการสอนเพื่อนำไปสู่การคิดนวัตกรรมในการเรียนการสอน  
-  ศูนย์นวัตกรรมการเรียนการสอนจัดอบรมเทคนิคการสอนระดับอุดมศึกษา 45  ชั่วโมง ทุกภาคฤดูร้อน  และจัดบรรยายพิเศษบางหัวข้อในภาคการศึกษาปกติ
</t>
  </si>
  <si>
    <t>2.9 ร้อยละของบัณฑิตระดับปริญญาตรีที่ได้งานทำและการประกอบอาชีพอิสระภายใน  1  ปี</t>
  </si>
  <si>
    <t>โครงการวิจัยสถาบัน รายงานการสำรวจภาวะการหางานของบัณฑิต มธบ. ที่สำเร็จการศึกษา ปีการศึกษา  2551</t>
  </si>
  <si>
    <t xml:space="preserve">2.12 ร้อยละของนักศึกษาปัจจุบันและศิษย์เก่าที่สำเร็จการศึกษาในรอบ  5 ปีที่ผ่านมาที่ได้รับการประกาศเกียรติคุณยกย่องในด้านวิชาการ วิชาชีพ คุณธรรม จริยธรรม กีฬา สุขภาพ ศิลปะและวัฒนธรรม และด้านสิ่งแวดล้อมในระดับชาติหรือนานาชาติ
</t>
  </si>
  <si>
    <t xml:space="preserve">สำนักกิจการนักศึกษาได้ดำเนินการจัดทำแบบสำรวจความพึงพอใจและความต้องการของนักศึกษาชั้นปีที่ 1 
 </t>
  </si>
  <si>
    <t>- เอกสารของแผนกแนะแนว
- บทเรียนใน Self Access Language Learning Center
- เอกสารของศูนย์เตรียมความพร้อมเพื่อการทำงาน</t>
  </si>
  <si>
    <t>-  สำนักกิจการนักศึกษาได้จัดบริการสถานที่ออกกำลังกายทั้งสนามภายในและภายนอกศูนย์กีฬาเพื่อให้นักศึกษาและบุคลากรได้ใช้บริการทุกวันทำการ มีบริการหอพักจำนวน 2  หอพักให้กับนักศึกษาหญิงพักในมหาวิทยาลัยและจัดโครงการ หอพักเครือข่ายโดยได้ประสานงานกับผู้ประกอบการหอพักต่างๆ  บริเวณรอบมหาวิทยาลัยที่จดทะเบียนหอพักและเข้าร่วมโครงการกับทางมหาวิทยาลัย  
- มหาวิทยาลัยจัดที่นั่งพักผ่อนระหว่างเรียนให้นักศึกษาอย่างเพียงพอต่อความต้องการของนักศึกษาในสภาพแวดล้อมที่สะอาด ร่มรื่น  และพยายามจัดเป็นโซนตามคณะวิชาตามความต้องการของนักศึกษา</t>
  </si>
  <si>
    <t xml:space="preserve">- แฟ้มรายงานประจำเดือนของแผนกแนะแนว  
- แฟ้มให้คำปรึกษาของแผนกแนะแนว
- เอกสารสถิติการให้คำปรึกษาของศูนย์บริการนักศึกษา  
</t>
  </si>
  <si>
    <t xml:space="preserve"> - สำนักกิจการนักศึกษาได้จัดบริการโดยแบ่งตามแผนกต่างๆ  ดังนี้ แผนกแนะแนวจัดหางานได้จัดบริการห้องสมุดอาชีพ รวมทั้งทำการประชาสัมพันธ์ข้อมูลข่าวสารผ่านทางเว็บไซด์ของสำนักกิจการนักศึกษา มีบอร์ดเผยแพร่ข้อมูลแนะแนวศึกษาต่อ  ข้อมูลแหล่งทุนการศึกษาข้อมูลการงาน  ได้จัดส่งจดหมายข่าว “ข่าวสารการงาน” ให้กับบัณฑิตได้รับทราบเป็นประจำทุกเดือน  แผนกกิจกรรมพัฒนานักศึกษา ประชาสัมพันธ์และจัดบอร์ดประมวลภาพกิจกรรมต่างๆ  ที่จัดหรือเข้าร่วมทั้งภายในและภายนอกมหาวิทยาลัย แผนกวินัยและสวัสดิการนักศึกษา จัดทำผังแสดงหอพักเครือข่าย และการให้บริการสวัสดิการนักศึกษาต่างๆ ทางเว็บไซต์
- ฝ่ายบริหารสื่อสารการตลาดจัดทำ "มธบ.สื่อสัมพันธ์" เพื่อประชาสัมพันธ์ข้อมูลต่างๆ ของมหาวิทยาลัยให้นักศึกษาและส่งให้ศิษย์เก่าด้วย</t>
  </si>
  <si>
    <t>- เว็บไซต์ บอร์ด สำนักกิจการนักศึกษา   
- จดหมายข่าว “ข่าวสารการงาน” 
- ประกาศประชาสัมพันธ์  
- แผ่นพับแผนกิจกรรมพัฒนานักศึกษา 
- แผ่นพับวินัยและสวัสดิการนักศึกษา
- โครงการ open House สำนักกิจการนักศึกษา
- มธบ.สื่อสัมพันธ์</t>
  </si>
  <si>
    <t>- เอกสารสรุปโครงการของแผนกจัดหางานและสหกิจศึกษา
- เอกสารโครงการอบรมของสถาบันพัฒนานักวิชาชีพบัญชี
- โครงการนิติศาสตร์ติวเตอร์
- เอกสารของบริษัทจำลองของคณะบริหารธุรกิจ</t>
  </si>
  <si>
    <t xml:space="preserve"> - สำนักกิจการนักศึกษาได้จัดโครงการเส้นทางสู่อาชีพในสาขาวิชาต่างๆ เป็นประจำทุกภาคการศึกษา รวมทั้งจัดโครงการจัดหางาน Part Time ทั้งภายใน และภายนอกมหาวิทยาลัยให้นักศึกษาได้ฝึกปฏิบัติก่อนออกไปทำงานจริง รวมทั้งมีการบริการจัดหางานโดยให้บริษัทภายนอกมารับสมัครนักศึกษาทำงานนอกเวลา เป็นประจำทุกเดือน งานสหกิจศึกษานำนักศึกษาไปเยี่ยมชมสถานประกอบการประเภทต่างๆ 
-  สถาบันพัฒนานักวิชาชีพบัญชี  จัดอบรมเกี่ยวกับกฎหมายและหลักเกณฑ์ในทางบัญชีให้กับศิษย์เก่าและบุคคลทั่วไป
- คณะนิติศาสตร์ปรีดี  พนมยงค์ จัดอบรมหลักสูตรนิติศาสตร์ติวเตอร์แก่นักศึกษา และศิษย์เก่า
- คณะบริหารธุรกิจจัดตลาดนัดร่มไผ่ และ Business Fair ภายใต้ความรับผิดชอบของบริษัทจำลอง เพื่อพัฒนาทักษะการจัดการด้านธุรกิจให้นักศึกษา
</t>
  </si>
  <si>
    <t xml:space="preserve"> - ในการประชุมคณะกรรมการบริหารสำนักกิจการนักศึกษาและการประชุมแผนก หัวหน้าแผนกจะสรุปผลการดำเนินงานที่ผ่านมาและนำมาประกอบการวางแผนการดำเนินงานในปีถัดไป อีกทั้งมีพัฒนาและปรับรูปแบบการให้บริการให้เหมาะสมกับสถานการณ์ปัจจุบันและสนองตอบต่อความต้องการของผู้ใช้บริการอย่างสม่ำเสมอ 
- มหาวิทยาลัยสำรวจความพึงพอใจของนักศึกษาในด้านต่างๆ  และบริการที่ได้รับจากหน่วยงานต่างๆ  มีการรายงานผลการสำรวจนี้ในที่ประชุมกรรมการบริหาร  ซึ่งหน่วยงานที่เกี่ยวข้องรับไปพิจารณาปรับปรุงพัฒนาต่อไป</t>
  </si>
  <si>
    <t xml:space="preserve">สำนักกิจการนักศึกษาและคณะวิชาได้จัดกิจกรรมเสริมหลักสูตรที่เน้นให้นักศึกษาได้รับการพัฒนาสติปัญญา สังคม  อารมณ์ ร่างกายและคุณธรรมจริยธรรมที่สอดคล้องกับลักษณะของบัณฑิตพึงประสงค์ตามกรอบมาตรฐานคุณวุฒิ
 </t>
  </si>
  <si>
    <t xml:space="preserve">สำนักกิจการนักศึกษาและสโมสรนักศึกษาได้จัดกิจกรรมเสริมหลักสูตรครบทั้ง  5 ประเภท ดังนี้
- กิจกรรมวิชาการ 99 โครงการ            
- กิจกรรมกีฬาและการส่งเสริมสุขภาพ 48 โครงการ
- กิจกรรมบำเพ็ญประโยชน์และรักษาสิ่งแวดล้อม 50 โครงการ                    
- กิจกรรมนันทนาการ 43 โครงการ       
- กิจกรรมส่งเสริมศิลปวัฒนธรรม 38 โครงการ          
นอกจากกิจกรรมที่จัดโดยสำนักกิจการนักศึกษาแล้ว คณะวิชายังจัดกิจกรรมนักศึกษาในด้านต่างๆ ด้วย
         </t>
  </si>
  <si>
    <t>- ข้อบังคับสโมสรนักศึกษาและคู่มือการจัดกิจกรรมนักศึกษา
- งบประมาณสนับสนุนการจัดกิจกรรมของสำนักกิจการนักศึกษา  
- โครงการที่ขออนุมัติและสรุปโครงการ
- โครงการเสริมหลักสูตรของคณะวิชา</t>
  </si>
  <si>
    <t xml:space="preserve">- มีคณะกรรมการวิจัยที่ได้รับการแต่งตั้งจากอธิการบดีเพื่อให้การดำเนินงานวิจัยสนองตอบต่อแนวนโยบายการพัฒนามหาวิทยาลัยและสอดคล้องกับยุทธศาสตร์การวิจัยของชาติ
- มีสายงานวิจัยซึ่งประกอบด้วย ศูนย์วิจัย สถาบันวิจัยสังคมและเศรษฐกิจ สถาบันวิจัยนโยบายและแผนอุดมศึกษา เพื่อขับเคลื่อนนโยบายการวิจัยให้ได้ผลงานวิจัยตามแผนงาน 
- กระตุ้นให้คณะมีการทำงานวิจัยเป็น Theme  โดยมี Theme กลางของมหาวิทยาลัยและแตกออกเป็น Theme วิจัยของคณะ </t>
  </si>
  <si>
    <t xml:space="preserve">- จัดทำวารสารสุทธิปริทัศน์ซึ่งเป็นวารสารวิชาการของมหาวิทยาลัย ออกปีละ  3 เล่ม 
- ข่าววิจัยธุรกิจบัณฑิตย์ ออกปีละ 12 ฉบับ  โดยส่งไปห้องสมุดประชาชน ห้องสมุดเฉลิมพระเกียรติ มหาวิทยาลัยของรัฐ และเอกชน มหาวิทยาลัยราชภัฏ มหาวิทยาลัยราชมงคล
- นำเสนอผลงานวิจัยสถาบันเมื่อสิ้นปีการศึกษา โดยจัดเป็นโครงการเสวนาวิจัยสถาบัน ซึ่งจะเป็นเนื้อหาเกี่ยวกับนักศึกษา/บัณฑิตที่สำเร็จการศึกษา  การบริหารจัดการ  การเรียนการสอน  อาคารสถานที่  เป็นต้น  โดยจะนำเสนอผลของข้อมูลที่พบให้กับผู้เข้าร่วมเสวนาซึ่งประกอบด้วย ผู้บริหาร และคณาจารย์มหาวิทยาลัย
 </t>
  </si>
  <si>
    <t>- วารสารสุทธิปริทัศน์ และข่าววิจัยธุรกิจบัณฑิตย์ 
- เอกสาร proceeding การจัดประชุมวิชาการทางการบริหารและการจัดการ
- เอกสารวิจัยสถาบัน</t>
  </si>
  <si>
    <t>- Facts and Figures ของ มธบ.
-  www.dpu.ac.th/research 
 - เอกสารการสังเคราะห์ผลงานวิจัย</t>
  </si>
  <si>
    <t xml:space="preserve">- ทำวิจัยสถาบันเกี่ยวกับมหาวิทยาลัยในด้านต่างๆ ได้แก่ บุคลากร  การเรียนการสอน สภาพแวดล้อม  นายจ้าง  การอนุรักษ์พลังงาน ความพึงพอใจในการบริการ เป็นต้น
- รวบรวมข้อมูลที่สำคัญและจำเป็นสำหรับไปใช้ในการตัดสินใจและวางแผนของมหาวิทยาลัยธุรกิจบัณฑิตย์  จัดทำเป็นรูปเล่ม (facts and figures)
- มีฐานข้อมูลบทคัดย่อของงานวิจัยของมหาวิทยาลัยเผยแพร่ในเว็บไซต์    
- มีการสังเคราะห์งานวิจัย 3 เรื่อง ได้แก่ การสังเคราะห์งานวิจัยด้านการเรียนการสอนของอาจารย์มหาวิทยาลัยธุรกิจบัณฑิตย์  ปีการศึกษา  2546-2552
 การสังเคราะห์ผลงานวิจัยที่ได้รับทุนของมหาวิทยาลัยธุรกิจบัณฑิตย์ ปีการศึกษา 2552 และการสังเคราะห์งานวิจัยของอาจารย์จากผู้ทรงคุณวุฒิภายนอกมหาวิทยาลัยธุรกิจบัณฑิตย์ </t>
  </si>
  <si>
    <t>มหาวิทยาลัยสนับสนุนให้อาจารย์ของคณะวิชาต่างๆรับงานวิจัยจากหน่วยงานภายนอกซึ่งสามารถนำผลการวิจัยไปใช้ประโยชน์ได้</t>
  </si>
  <si>
    <t>22,707,037.05 บาท</t>
  </si>
  <si>
    <r>
      <t xml:space="preserve">- แบบฟอร์มตัวบ่งชี้ 5.2
- ข้อมูลของคณะวิชา ศูนย์วิจัย ศูนย์ธุรกิจวิทยบริการ ศูนย์ ADCC   สำนักวิชาการ  และสำนักอธิการบดี </t>
    </r>
    <r>
      <rPr>
        <sz val="16"/>
        <color indexed="10"/>
        <rFont val="Browallia New"/>
        <family val="2"/>
      </rPr>
      <t xml:space="preserve"> 
 </t>
    </r>
  </si>
  <si>
    <t xml:space="preserve">- แบบฟอร์มตัวบ่งชี้ 5.3 และ 5.4
- ข้อมูลของคณะวิชา ศูนย์ธุรกิจวิทยบริการ และศูนย์ ADCC  </t>
  </si>
  <si>
    <t xml:space="preserve">- ในการจัดทำแผนพัฒนามหาวิทยาลัยฉบับที่ 2 พ.ศ.2551-2555 คณะทำงานยกร่างแผนได้ศึกษาแผนพัฒนาระดับชาติที่สำคัญ 2 รายการได้แก่ (1) แผนพัฒนาเศรษฐกิจและสังคมแห่งชาติ พ.ศ.2550-2554 และ (2) แผนพัฒนาอุดมศึกษา 15 ปี พ.ศ.2551-2565 ทั้งนี้เพื่อให้การพัฒนามหาวิทยาลัยมีความสอดคล้องกับแผนพัฒนาชาติทั้งในด้านเศรษฐกิจ สังคม และการศึกษา ดังปรากฏในหน้า 4-9 ในแผนพัฒนามหาวิทยาลัยฉบับที่ 2  
- ในแผนพัฒนามหาวิทยาลัยฉบับที่  2  แต่ละกลยุทธ์มีการกำหนดวัตถุประสงค์   
ตัวบ่งชี้ ตัวอย่างกิจกรรม และหน่วยงานรับผิดชอบไว้ชัดเจนเมื่อแผนพัฒนามหาวิทยาลัยได้รับการอนุมัติจากกรรมการสภามหาวิทยาลัยแล้ว กำหนดให้คณะและหน่วยงานต่างๆ จัดทำแผนปฏิบัติการประจำปีโดยต้องระบุให้ชัดเจนว่าโครงการหรือกิจกรรมที่จะดำเนินการนั้นสอดคล้องกับแผนพัฒนามหาวิทยาลัยในกลยุทธ์ย่อยใดอย่างไร
</t>
  </si>
  <si>
    <t>การกำกับดูแลการปฏิบัติตามจรรยาบรรณมีหลายระบบ ดังนี้
- มีการรูดบัตรการเข้าออกการทำงาน โดยบุคลากรสายวิชาการสามารถยืดหยุ่นเวลาทำงานได้ 
- มีการลงเวลาเข้าสอนโดยมีพนักงานนำใบลงนามให้ลงนามในห้องสอน
- มีระบบร้องเรียนจากนักศึกษาโดยผ่านการกรอกใบคำร้อง และการร้องเรียนผ่าน Web Board มหาวิทยาลัยแต่งตั้งคณะกรรมการพิจารณาการร้องเรียนและแก้ปัญหาให้นักศึกษา 
- มีการสำรวจความคิดเห็นของนักศึกษาต่อการสอนของอาจารย์ภาคการศึกษาละ 2 ครั้ง ช่วงก่อนสอบกลางภาคและก่อนสอบปลายภาค มีการจัดทำสถิติคะแนนความเห็นของนักศึกษาต่อการสอนของอาจารย์ หากอาจารย์คนใดมีคะแนนต่ำกว่าระดับที่กำหนดไว้หรือมีแนวโน้มของคะแนนลดลง สำนักงานประกันคุณภาพการศึกษาจะทำหนังสือถึงคณบดีให้พิจารณาว่าการสอนของอาจารย์มีปัญหาอย่างไร
- แต่ละคณะวิชา ผู้บริหารและอาจารย์มีความใกล้ชิด มีการประชุมสม่ำเสมอ ทำให้การดูแลการปฏิบัติตนของอาจารย์เป็นไปอย่างทั่วถึง</t>
  </si>
  <si>
    <t xml:space="preserve">- มี “เครือข่ายวิจัยประชาชื่น” เพื่อการวิจัย มีมหาวิทยาลัย วิทยาลัยของรัฐและเอกชนเข้าร่วมเครือข่ายทั้งหมด 11 สถาบัน โดยมีการกำหนด Theme  วิจัย แต่ละสถาบันรับผิดชอบดำเนินการ
- รองอธิการบดีฝ่ายวิชาการเชิญอาจารย์คณะต่างๆ มาทำวิจัยในชั้นเรียนมีการประชุมติดตามความก้าวหน้า ทำให้เกิดเครือข่ายภายในมหาวิทยาลัย และจัดการนำเสนอวิจัยในชั้นเรียนในชื่อโครงการ “เวทีวิจัยในชั้นเรียน” มีอาจารย์ภายนอกมาร่วมนำเสนอและร่วมฟังมีการให้รางวัลการวิจัยที่มีคุณภาพ  และ ศ. ดร. สุวิมล ว่องวานิช มาเป็นวิทยากรและพิจารณาผลงานที่นำเสนอให้ความเห็นชี้แนะซึ่งทำมาต่อเนื่องทุกปี
</t>
  </si>
  <si>
    <t>หมายเหตุ ร้อยละของจำนวนโครงการ/กิจกรรมที่มีการประเมินความพึงพอใจต่อจำนวนโครงการ/กิจกรรมทั้งหมด = ร้อยละ 99.44 (177 จาก 178 โครงการ/กิจกรรม)</t>
  </si>
  <si>
    <r>
      <t xml:space="preserve">รายงานการประชุมสภามหาวิทยาลัย 
ปีการศึกษา 2552 
</t>
    </r>
    <r>
      <rPr>
        <i/>
        <sz val="16"/>
        <rFont val="Browallia New"/>
        <family val="2"/>
      </rPr>
      <t>ครั้งที่ 1 วันที่ 24 มิถุนายน 2552</t>
    </r>
    <r>
      <rPr>
        <sz val="16"/>
        <rFont val="Browallia New"/>
        <family val="2"/>
      </rPr>
      <t xml:space="preserve">
</t>
    </r>
    <r>
      <rPr>
        <sz val="14"/>
        <rFont val="Browallia New"/>
        <family val="2"/>
      </rPr>
      <t>3.1 รายงานความคืบหน้าในการปฏิบัติตามแผนพัฒนามหาวิทยาลัย พ.ศ. 2551-2555 (ชี้แจงเพิ่มเติม)
4.10 รายงานผลการดำเนินงานของมหาวิทยาลัยในรอบปี
6.2 ประเมินแผน 5 ปี (2551 -2555)</t>
    </r>
    <r>
      <rPr>
        <sz val="16"/>
        <rFont val="Browallia New"/>
        <family val="2"/>
      </rPr>
      <t xml:space="preserve">
</t>
    </r>
    <r>
      <rPr>
        <i/>
        <sz val="16"/>
        <rFont val="Browallia New"/>
        <family val="2"/>
      </rPr>
      <t>ครั้งที่ 2 วันที่ 23 กันยายน 2552</t>
    </r>
    <r>
      <rPr>
        <i/>
        <sz val="14"/>
        <rFont val="Browallia New"/>
        <family val="2"/>
      </rPr>
      <t xml:space="preserve">
</t>
    </r>
    <r>
      <rPr>
        <sz val="14"/>
        <rFont val="Browallia New"/>
        <family val="2"/>
      </rPr>
      <t xml:space="preserve">3.5 การประเมินแผนพัฒนามหาวิทยาลัยสำหรับการดำเนินงานของปีการศึกษา 2551
4.5 ขออนุมัติจัดตั้งวิทยาลัยจีน </t>
    </r>
    <r>
      <rPr>
        <sz val="16"/>
        <rFont val="Browallia New"/>
        <family val="2"/>
      </rPr>
      <t xml:space="preserve">
</t>
    </r>
    <r>
      <rPr>
        <i/>
        <sz val="16"/>
        <rFont val="Browallia New"/>
        <family val="2"/>
      </rPr>
      <t/>
    </r>
  </si>
  <si>
    <t xml:space="preserve"> ในการประชุมสภามหาวิทยาลัย เรื่องที่เสนอเป็นประเด็นเกี่ยวกับทิศทางยุทธศาสตร์และนโยบายของมหาวิทยาลัย กรรมการสภามหาวิทยาลัยจะสอบถามและให้ความคิดเห็น เช่น ในการเสนอแผนพัฒนามหาวิทยาลัย ปีการศึกษา  2551-2555 กรรมการพิจารณาแล้วสอบถามทิศทางของมหาวิทยาลัยว่าจะไปทางใด เนื่องจากแผนพัฒนาที่เสนอยังไม่สะท้อนทิศทางที่ชัดเจน ในการพิจารณาหลักสูตรใหม่ๆ ที่เสนอจะสอบถามถึงความเหมาะสมและความสอดคล้องกับหลักสูตรที่เปิดอยู่ มีการให้ความเห็นเกี่ยวกับการตั้งวิทยาลัยจีน เป็นต้น นอกจากนี้มีผู้แทนกรรมการสภาที่เป็นผู้ทรงคุณวุฒิภายนอกเป็นกรรมการอำนวยการ ซึ่งจะประชุมทุกเดือนเพื่อทำหน้าที่ติดตามงาน กำหนดนโยบายยุทธศาสตร์ในการดำเนินงานและกลั่นกรองเรื่องต่างๆ ที่เสนอสภามหาวิทยาลัย</t>
  </si>
  <si>
    <t>ผลงานของอธิการบดี กรรมการอำนวยการเป็นผู้ประเมิน โดยพิจารณาจาก  
(1) การบริหารองค์กรโดยยึดหลักธรรมาภิบาล  
(2)  การควบคุมการเรียนการสอนให้ได้ตามคุณภาพตามนโยบายของมหาวิทยาลัย  
(3)  การร่วมในกิจกรรมที่จำเป็นในมหาวิทยาลัยอย่างสม่ำเสมอเพื่อสร้างให้เกิดความรัก/สามัคคีในองค์กร 
(4)  การควบคุมด้านการเงินให้ดำเนินไปอย่างโปร่งใส วัดได้โดยผลประกอบทางการเงิน  
(5)  ความสามารถในการเป็นตัวแทนที่ดีที่จะจรรโลงชื่อเสียงเกียรติคุณของมหาวิทยาลัย  
(6)  สามารถควบคุมการดำเนินงานขององค์กรในภาพรวมให้เป็นไปโดยเรียบร้อยทั้งด้านบุคลากรและนักศึกษา 
กรรมการอำนวยการ นำผลมาประเมินเสนอสภามหาวิทยาลัย</t>
  </si>
  <si>
    <t>บันทึกจากประธานกรรมการอำนวยการถึงผู้รับใบอนุญาต</t>
  </si>
  <si>
    <t>สภามหาวิทยาลัยมีการดำเนินงานโดยยึดหลักการบริหารที่ซื่อตรง โปร่งใส และตรวจสอบ  และสนับสนุนให้มหาวิทยาลัยยึดหลักการเดียวกัน ในส่วนของมหาวิทยาลัยมีการประชุมคณะกรรมการบริหารตั้งแต่หัวหน้าภาควิชาขึ้นไป เพื่อรับทราบกิจกรรมและแลกเปลี่ยนข้อมูลร่วมกัน การบริหารในระดับรองๆ ลงไปใช้การบริหารแบบมีส่วนร่วมในรูปของกรรมการ และมีการสำรวจความพึงพอใจของบุคลากรและนักศึกษาในการบริหารงาน ผลสำรวจพิมพ์เผยแพร่ให้กลุ่มผู้บริหารและบุคลากรโดยทั่วไปได้รับทราบ การตรวจสอบด้านการปฏิบัติงานและด้านการเงินมีทั้งผู้ตรวจสอบภายในและผู้ตรวจสอบภายนอก</t>
  </si>
  <si>
    <t xml:space="preserve"> - มหาวิทยาลัยพัฒนาระบบการจัดการความรู้ตั้งแต่ปีการศึกษา  2548 โดยเริ่มจากความรู้ด้านการเรียนการสอน  มีการจัดเก็บความรู้ที่ได้จากการสนทนาวิชาการ ความเห็นของผู้ที่ได้รับตำแหน่งทางวิชาการ  แลกเปลี่ยนประสบการณ์ของผู้ได้รับรองคุณภาพการสอน ประกวด best practice จัดตั้ง CoP กลุ่มอาจารย์ที่ได้รับรองคุณภาพการสอน ปีการศึกษา 2550 ได้แต่งตั้งคณะกรรมการพัฒนาระบบการจัดการความรู้ของมหาวิทยาลัย ประกอบด้วย ผู้แทนจากคณะวิชา และหน่วยงานที่เกี่ยวข้องของมหาวิทยาลัย
- เมื่อประชุมเสร็จแต่ละครั้ง กรรมการที่เป็นตัวแทนหน่วยงานเป็นผู้เผยแพร่ข้อมูลต่างๆ ของการประชุมให้บุคลากรในหน่วยงานของตนทราบ และทำให้  KM ของมหาวิทยาลัย และ  KM ของหน่วยงานไม่มีความซ้ำซ้อนกัน
- คณะกรรมการฯ กำหนดแผนการดำเนินงาน ปีการศึกษา  2550-2551  โดยได้กำหนดความรู้ที่จำเป็นขององค์กรโดยให้คณะวิชาระบุความรู้ที่คณะวิชาควรมี และที่มหาวิทยาลัยควรมี จากนั้นพิจารณาหัวข้อความรู้ที่จำเป็นขององค์กร มี  7 หัวข้อใหญ่ ได้แก่ การสอน การเป็นอาจารย์ที่ปรึกษา การทำวิจัย  หลักสูตร การบริหารจัดการทั่วไป ความรู้ของพนักงาน และความรู้ของนักศึกษา เผยแพร่ในเว็บไซต์  http://moodle.dpu.ac.th/km  
- ปีการศึกษา 2552  จัดทำแผนการดำเนินงานประจำปี  ประกอบด้วยการปรับปรุง website การจัดกิจกรรมแลกเปลี่ยนเรียนรู้เกี่ยวกับการประกันคุณภาพการศึกษาเรียกว่า QA series  และการประเมินผลของการจัดการความรู้</t>
  </si>
  <si>
    <t xml:space="preserve">- คำสั่งแต่งตั้งคณะกรรมการพัฒนาระบบการจัดการความรู้
- แผนงานด้านการจัดการความรู้ ปีการศึกษา 2550-2551
- ระบบการจัดการความรู้ (KMS) ในเว็บไซต์ของมหาวิทยาลัย
 </t>
  </si>
  <si>
    <t xml:space="preserve"> - มีแผนการบริหารทรัพยากรบุคคลอย่างเป็นระบบโดยกำหนดจำนวนบุคลากรทั้งหมด
- มีนโยบายควบคุมจำนวนบุคลากรสายสนับสนุนแต่ไม่ควบคุมจำนวนบุคลากรสายวิชาการ
- การขออัตรากำลังเพิ่มต้องมีการวิเคราะห์ภาระงาน มีการกำหนดวิธีการคัดเลือกอาจารย์ใหม่ การประเมินการทดลองงาน การประเมินผลการปฏิบัติงาน และมีแผนการอบรมอาจารย์ใหม่ และบุคลากรใหม่</t>
  </si>
  <si>
    <t xml:space="preserve"> - มีการจัดสวัสดิการต่างๆมากกว่าสวัสดิการพื้นฐานตามกฎหมาย เช่น มีงบประมาณสังสรรค์สัมมนาต่างจังหวัดให้ทุกหน่วยงาน งบประมาณค่ารักษาพยาบาลบุคลากรและครอบครัว การประกันอุบัติเหตุ คูปองอาหารสำหรับบุคลากรบางกลุ่ม เป็นต้น
- มีการจัดขายข้าวราคาถูกแก่บุคลากรที่มีเงินเดือนตามที่กำหนด
- มีอุปกรณ์และสถานที่สำหรับออกกำลังกายของบุคลากร</t>
  </si>
  <si>
    <t xml:space="preserve"> - มีคณะกรรมการบุคคล และกรรมการทุนการศึกษาพิจารณาส่งเสริมสนับสนุนบุคลากรที่มีขีดความสามารถสูง เช่น พิจารณาเลื่อนตำแหน่ง ให้ทุนศึกษาต่อในระดับที่สูงขึ้น
- ฝ่ายวิจัยจัดประชุมอาจารย์ที่สำเร็จการศึกษาระดับปริญญาเอกเพื่อกระตุ้นให้พัฒนาผลงานวิชาการเพื่อขอตำแหน่งวิชาการ</t>
  </si>
  <si>
    <t>- รายงานการประชุมคณะกรรมการบุคคล คณะกรรมการทุนการศึกษา
- ข้อมูลให้ทุนการศึกษาบุคลากรที่ฝ่ายทรัพยากรบุคคล และฝ่ายวิเทศสัมพันธ์
- หลักฐานการประชุมอาจารย์ปริญญาเอกของศูนย์วิจัย</t>
  </si>
  <si>
    <t>มีการประเมินความพึงพอใจของบุคลากรทุกระดับเป็นประจำทุกปีในช่วงสิ้นปีการศึกษาโดยศูนย์วิจัย</t>
  </si>
  <si>
    <t xml:space="preserve">ในแผนการจัดการความรู้ ปีการศึกษา 2552 กำหนดไว้ 7 กิจกรรม มีผลการดำเนินการครบทุกกิจกรรม คิดเป็นร้อยละ 100 คือ
1) จัดทำแผน KM  
2) ปรับปรุงระบบการจัดการความรู้ในมหาวิทยาลัย  โดยมีการปรับปรุงที่สำคัญคือ เพิ่มกิจกรรม QA Series และปรับปรุงหน้าเว็บไซต์ให้ใช้งานง่ายและน่าสนใจ
3) จัดการอบรมประชาสัมพันธ์แก่บุคลากร โดยสัมมนาหัวข้อ KM ใน QA Series  เพิ่มการประชาสัมพันธ์ใน Techno Talks online และการแจ้งข่าวสารทาง e-mail ของมหาวิทยาลัย
4) แลกเปลี่ยนความรู้จากการสร้างชุมชนนักปฏิบัติ และเครือข่ายในการจัดการความรู้ โดยมีชุมชนผู้สอนคุณภาพ และชุมชนนักวิจัย และการจัดกิจกรรมสนทนาวิชาการ QA Series
</t>
  </si>
  <si>
    <t xml:space="preserve">- แผนตามมติการประชุมคณะกรรมการพัฒนาระบบการจัดการความรู้ของมหาวิทยาลัยธุรกิจบัณฑิตย์  ครั้งที่ 1/2552 วันที่ 14 มกราคม 2553  
- QA Series 7 ครั้ง
- http://moodle.dpu.ac.th/
km/
- http://www.dpu.ac.th/
techno/page.php?id=6660
- กิจกรรมผู้สอนคุณภาพ และชุมชนนักวิจัย
-  รางวัล DPU QA Award 2009 มอบในการประชุมคณะกรรมการบริหารมหาวิทยาลัย วันศุกร์ที่ 27 พฤศจิกายน 2552
</t>
  </si>
  <si>
    <t xml:space="preserve">5) ประกวดหรือกิจกรรมยกย่อง Best Practice โดยมอบรางวัล DPU QA Award 2009 แก่คณะวิชาและหน่วยงานที่มีผลการประเมิน SAR ในระดับดีมากและมีคะแนนสูงสุด คณะวิชาที่มีพัฒนาการประเมินคุณภาพสูงสุด และคณะวิชาที่มีคะแนนตามตัวบ่งชี้กลยุทธ์สูงสุด และให้หน่วยงานที่เป็นตัวอย่างที่ดีในการดำเนินงานประกันคุณภาพภายในในเรื่องการจัดการความรู้ และการจัดการความเสี่ยงนำเสนอประสบการณ์ใน QA Series
6) ติดตามประเมินความสำเร็จของระบบการจัดการความรู้ของมหาวิทยาลัย โดยติดตามในการประชุม ครั้งที่ 2/2552 วันที่ 12 กุมภาพันธ์ 2553
7) นำผลการประเมินมาใช้ในการปรับปรุงกระบวนการจัดการความรู้  โดยจากเดิมที่เคยกำหนดให้ประเมินจากจำนวนผู้เข้าใช้เว็บ KM มาเป็นประเมินจากการสัมมนาแลกเปลี่ยนเรียนรู้โดยแบบสอบถามความเห็นจาก QA Series และสนทนาวิชาการ ซึ่งนำไปใช้ในการปรับปรุงลักษณะกิจกรรมการแลกเปลี่ยนเรียนรู้โดยให้เห็นตัวอย่างของการปฏิบัติมากขึ้น
</t>
  </si>
  <si>
    <t>ที่ประชุมคณะกรรมการฯ ได้พิจารณาปรับระบบการประเมินผลความสำเร็จของการจัดการความรู้จากจำนวนผู้เข้าใช้เว็บมาเป็นการประเมินในการสัมมนาและการแลกเปลี่ยนเรียนรู้ในแต่ละครั้งโดยใช้แบบสอบถาม</t>
  </si>
  <si>
    <t>- เอกสารกำหนดสมรรถนะของบุคลากรและผู้บริหาร 
- รายงานการประชุมคณะกรรมการบุคคล
- โครงการฝึกอบรมผู้บริหาร</t>
  </si>
  <si>
    <t xml:space="preserve">มีระบบฐานข้อมูลที่สำคัญที่ครอบคลุมกิจกรรมต่างๆของมหาวิทยาลัย เช่น งานทางการเงิน งานทะเบียน งานบริหารงานทรัพยากรบุคคล ซึ่งเป็นการดำเนินการภายใต้ระบบบริหารทรัพยากรองค์กร ทำให้สามารถเข้าถึงข้อมูลต่างๆและนำไปสรุปเพื่อเป็นข้อมูลในการตัดสินใจของผู้บริหาร
</t>
  </si>
  <si>
    <t xml:space="preserve"> - มีระบบการประเมินผลความพึงพอใจของผู้ใช้งานในทุกๆ ระบบงานที่ฝ่ายระบบสารสนเทศดูแลอยู่ รวมไปถึงความพึงพอใจในการให้บริการหน่วยงานที่เกี่ยวข้อง
- มีการประชุมระหว่างฝ่ายระบบสารสนเทศ ฝ่ายพัฒนาและสนับสนุนองค์กร และผู้ใช้หลักเพื่อประเมินระบบอย่างต่อเนื่อง</t>
  </si>
  <si>
    <t>มีการนำเอาผลการประเมินประสิทธิภาพของระบบฐานข้อมูลและข้อเสนอแนะจากผู้ใช้งานมาปรับปรุงในเรื่องต่างๆ เช่น การกำหนดสิทธิการเข้าถึงข้อมูลอย่างเป็นระบบ กระบวนการทำงานของผู้ใช้งาน เป็นต้น</t>
  </si>
  <si>
    <t xml:space="preserve"> - เอกสารเกี่ยวกับระบบฐานข้อมูล
- รายงานการประชุมของฝ่ายระบบสารสนเทศ</t>
  </si>
  <si>
    <t>ใช้โปรแกรม CHE QA online ส่งข้อมูลการประกันคุณภาพการศึกษาภายในให้แก่ สกอ. ตามกำหนดเวลาทุกปี</t>
  </si>
  <si>
    <t>ข้อมูลของมหาวิทยาลัยที่ฐานข้อมูลของ สกอ.</t>
  </si>
  <si>
    <t xml:space="preserve">- คณะกรรมการบริหารความเสี่ยงได้พิจารณาการวิเคราะห์ความเสี่ยงที่ผ่านมา  แล้วปรับแก้ค่อนข้างมาก โดยเริ่มการกำหนดด้านของความเสี่ยง  ลักษณะความเสี่ยงและปัจจัยที่ทำให้เกิดความเสี่ยงโดยกำหนดเกณฑ์ว่าสิ่งใดเป็นความเสี่ยง และค่าความน่าจะเป็นของการเกิดขึ้น โอกาสที่เกิดหากเกิดขึ้นบ่อยจะเรียกว่า "ปัญหา" แต่ถ้าไม่ค่อยเกิดและเมื่อเกิดขึ้นแล้วมีความรุนแรงจะเรียกว่า "ความเสี่ยง"
- ในระบบการปฏิบัติงานซึ่งกำกับโดย ISO มีการกำหนดงาน PM 42 งานปฏิบัติการแก้ไขและป้องกัน มีการวิเคราะห์ระบบงาน  ข้อมูลจากข้อเสนอแนะของผู้ตรวจ และข้อมูลจากการวิเคราะห์ผลการปฏิบัติ นำมาจัดทำแบบฟอร์ม PAR (Preventive Action Request) และดำเนินงานตามสิ่งที่ต้องปฏิบัติเพื่อการป้องกันในฟอร์ม PAR ซึ่งถือว่าเป็นการบริหารความเสี่ยงในส่วนของการบริหารงาน </t>
  </si>
  <si>
    <t>- ในการวิเคราะห์ปัจจัยเสี่ยงได้ระบุกิจกรรมหรือมาตรการที่ควรดำเนินการเพื่อลดความเสี่ยง มีการจัดสัมมนา QA Series วันที่ 11 ธันวาคม 2552  เกี่ยวกับการบริหารความเสี่ยงให้แก่ผู้บริหารและบุคลากรได้รับทราบและนำไปบริหารความเสี่ยงของหน่วยงานของตนได้
- ในระบบ ISO มีการจัดทำการปฏิบัติการป้องกันตามแบบฟอร์ม PAR เป็นการป้องกันปัญหาและความผิดพลาดที่จะเกิดขึ้นในการปฏิบัติงานของทุกระบบ</t>
  </si>
  <si>
    <t>- มีการจัดทำแผนกำหนดการตรวจประเมินตามระบบ  ISO
- การประเมินคุณภาพการศึกษาภายในมีการกำหนดเวลาที่จะประเมินและรับการตรวจระดับภาควิชา คณะวิชา และสถาบัน รวมทั้งหน่วยงานสนับสนุน
- การประเมินผลปฏิบัติงานของบุคลากรและผู้บริหารมีกำหนดเวลาชัดเจนโดยฝ่ายทรัพยากรบุคคล
- การสำรวจความพึงพอใจในการปฏิบัติงานจะสำรวจในช่วงเดือนพฤษภาคมของทุกปีการศึกษา</t>
  </si>
  <si>
    <t>- เอกสารตารางการตรวจ ISO
- คู่มือการประกันคุณภาพการศึกษาภายใน มหาวิทยาลัยธุรกิจบัณฑิตย์
- หนังสือแจ้งการประเมินผลการปฏิบัติงานของฝ่ายทรัพยากรบุคคล</t>
  </si>
  <si>
    <t>การประชุมกรรมการอำนวยการ ครั้งที่ 4/2552 วันที่ 15 กันยายน 2552</t>
  </si>
  <si>
    <t xml:space="preserve">ฝ่ายแผนงานติดตามการดำเนินงานตามแผนปฏิบัติการประจำปี  2 ครั้ง โดยให้หน่วยงานกรอกแบบฟอร์มการรายงานผลการปฏิบัติงานเพื่อสรุปเสนอสภามหาวิทยาลัยเมื่อสิ้นภาคการศึกษาที่ 1 และเมื่อสิ้นปีการศึกษา </t>
  </si>
  <si>
    <t>ฝ่ายแผนงานติดตามผลการดำเนินงานตามตัวบ่งชี้เมื่อสิ้นปีการศึกษา</t>
  </si>
  <si>
    <t xml:space="preserve"> - มหาวิทยาลัยสร้างเกณฑ์การปฏิบัติงานของผู้บริหารสูงสุดของหน่วยงานคือ คณบดี และผู้อำนวยการสำนัก/สถาบัน/ฝ่าย เชื่อมโยงกับการขึ้นเงินเดือน กล่าวคือ หากการปฏิบัติงานเป็นไปตามภาระหน้าที่และแผนการดำเนินงานเป็นอย่างดีจะได้ 1 ขั้น มีการปรับปรุงระบบงานให้ดีขึ้นจะได้ 1 ขั้นครึ่ง หากมีนวัตกรรมจึงจะได้ 2 ขั้น สำหรับผู้ปฏิบัติงานจะนำคะแนนที่ได้จากผลการปฏบัติงานมาจัดอันดับโดยแต่ละหน่วยงานจะได้จำนวนขั้นเงินเดือนเพิ่มร้อยละ 20
- มหาวิทยาลัยมีการให้รางวัลประจำปีโดยกำหนดวงเงินของผู้บริหารแต่ละระดับ และวงเงินของผู้ปฏิบัติงาน ซึ่งผู้บริหารแต่ละหน่วยงานสามารถนำไปรวมกันแล้วจัดสรรตามผลการปฏิบัติงานที่ได้พิจารณาร่วมกับการขึ้นเงินเดือน สำหรับผู้บริหารแม้จะกำหนดวงเงินเอาไว้ แต่กรรมการอำนวยการอาจพิจารณาเพิ่มหรือลดจากวงเงินที่กำหนดได้ตามผลการปฏิบัติงาน</t>
  </si>
  <si>
    <t xml:space="preserve">- มีการกำหนดตัวบ่งชี้ประเมินผลการดำเนินงานของทุกงานในระบบ ISO
- มีการกำหนดตัวบ่งชี้ในการประเมินตนเองของหน่วยงานตามตัวบ่งชี้ของ สกอ. และแผนพัฒนามหาวิทยาลัยปีการศึกษา 2551-2555
- มีแบบฟอร์มการประเมินบุคลากร
- มีการให้ผู้บริหารเขียนประเมินตนเองตามเกณฑ์  4  ข้อ   
- มีการประเมินการปฏิบัติงานของทุกหน่วยงานภายในมหาวิทยาลัย และประเมินความพึงพอใจของผู้ใช้บริการ โดยเก็บข้อมูลจากบุคลากร ผู้บริหาร และนักศึกษา  </t>
  </si>
  <si>
    <t>มหาวิทยาลัยมีคติธรรม และคำขวัญสำคัญ 3 ประการซึ่งเป็นหลักธรรมที่มหาวิทยาลัยยึดเป็นปรัชญาในการบริหารมหาวิทยาลัยตลอดระยะเวลากว่า  40 ปี ที่ผ่านมา ได้แก่ 
(1) “กมฺมนฺเตน วิสุชฌติ  : คนบริสุทธิ์ได้ด้วยการงาน” 
(2)  “ธมฺโมหเว รกฺขติ ธมฺมจาริ  : ธรรมย่อมรักษาผู้ประพฤติธรรม” 
(3) “นักธุรกิจเป็นผู้สร้างชาติ” 
ซึ่งจากคติธรรมและคำขวัญดังกล่าว ได้กลายมาเป็นปรัชญาของแผนพัฒนามหาวิทยาลัยตั้งแต่ฉบับที่ 1 พ.ศ.2546-2550 จนถึงฉบับที่ 2 พ.ศ.2551-2555</t>
  </si>
  <si>
    <t xml:space="preserve">เอกสารแผนการดำเนินโครงการ ปีการศึกษา 2552
</t>
  </si>
  <si>
    <t xml:space="preserve"> - คำสั่งแต่งตั้งคณะกรรมการประจำสำนักกิจการนักศึกษา
- คำสั่งแต่งตั้งคณะกรรมการกิจการนักศึกษา  
- คำสั่งแต่งตั้งอาจารย์ที่ปรึกษาชมรมและกลุ่ม
- คู่มือการจัดกิจกรรมนักศึกษา
- แผนการปฏิบัติงานของแผนกต่างๆ ของสำนักกิจการนักศึกษา
- แผ่นพับของแผนกกิจกรรมพัฒนานักศึกษา
 </t>
  </si>
  <si>
    <t>การดำเนินโครงการทุกโครงการนั้น  ผู้รับผิดชอบโครงการต้องทำสรุปผลการประเมินโครงการแนบมาส่งพร้อมกับส่งหลักฐานค่าใช้จ่ายทุกครั้ง</t>
  </si>
  <si>
    <t>- แผนพัฒนามหาวิทยาลัยปีการศึกษา 2551-2555 มีการกำหนดกิจกรรมเชื่อมโยงการบริการวิชาการกับพันธกิจอื่น
- ในแบบฟอร์มข้อมูลโครงการให้ระบุว่าโครงการหนึ่งๆ สอดคล้องกับกลยุทธ์ใดของมหาวิทยาลัย และให้ระบุความเชื่อมโยงกับการเรียนการสอนหรือการวิจัย
- สถาบันพัฒนานักวิชาชีพบัญชีนำหลักสูตรต่างๆ ที่จัดให้แก่บุคคลภายนอก และการสำรวจจากความคิดเห็นของผู้เข้ารับการอบรมมาใช้ในการพัฒนาหลักสูตร
- มหาวิทยาลัยได้จัดตั้งเครือข่ายชุมชนโดยแต่งตั้งคณะกรรมการเพื่อดำเนินการ คณะกรรมการจัดทำแผนงานที่จะให้บริการชุมชนโดยเชื่อมโยงกับการเรียนการสอนวิชาจิตสำนึกสาธารณะ และจัดทำรายงานการวิจัยให้ชุมชน
- คณะเทคโนโลยีสารสนเทศมีศูนย์พัฒนาซอฟต์แวร์ให้บริการพัฒนาโปรแกรมให้กับหน่วยงานภายนอก อาจารย์นำงานมาให้นักศึกษาเป็นผู้ช่วยในการพัฒนาโปรแกรม และวิชาสหกิจศึกษาจัดให้นักศึกษาไปปฏิบัติงานที่หน่วยงานภายนอก และงานที่นักศึกษาปฏิบัติคือการพัฒนาโปรแกรมให้กับหน่วยงาน
- จัดทำโครงการ UMAP ของ สกอ. โดยจัดอบรมให้นักศึกษาต่างชาติในหลักสูตรระยะสั้น มีอาจารย์ของภาควิชาการท่องเที่ยวและการโรงแรม วิทยาลัยนานาชาติ และภาควิชาภาษาไทยเป็นวิทยากร ซึ่งเป็ฯการพัฒนาอาจารย์ในเรื่องการเรียนการสอน
- ศูนย์วัฒนธรรมให้บริการวิชาการแก่ชุมชนโดยจัดสอนดนตรีไทยและนาฏศิลป์ไทยแก่บุคคลทั่วไป และจัดการแสดงให้กับหน่วยงานราชการระดับชาติ</t>
  </si>
  <si>
    <t>- ในการประชุมคณะกรรมการวิชาการได้นำประเด็นการให้บริการวิชาการกับการบูรณาการในด้านการเรียนการสอนและการวิจัยว่ายังไม่เป็นระบบเท่าที่ควร จึงเห็นควรให้มีการจัดทำเป็นระบบในทุกคณะวิชา จึงจัดทำแบบฟอร์มการเสนอโครงการบริการวิชาการให้ระบุความเชื่อมโยงกับรายวิชาและหรืองานวิจัยให้ชัดเจน นอกจากนี้ยังปรับปรุงประมวลการสอนและแผนการสอนให้ระบุว่าในการเรียนการสอนแต่ละวิชาได้นำความรู้จากการบริการวิชาการมาใช้ในการเรียนการสอนหรือไม่อย่างไร
- ในระดับมหาวิทยาลัยได้ตั้งรองอธิการบดีฝ่ายพัฒนาธุรกิจเพื่อให้การบริการวิชาการมีทิศทางที่ชัดเจน ประสาน และขับเคลื่อนการบริการของหน่วยงานบริการวิชาการและคณะไปด้วยกัน ตลอดจนให้เกิดผลต่อการพัฒนาการเรียนการสอนและการวิจัยให้มากขึ้น</t>
  </si>
  <si>
    <t>เปิดสอนนาฏศิลป์และดนตรีไทยแก่นักศึกษาและบุคคลภายนอก มีการจัดนิทรรศการถาวรด้านวัฒนธรรม มีศูนย์วัฒนธรรม และหอประวัติ ดร. ไสว สุทธิพิทักษ์ ส่งลูกศิษย์ที่เรียนนาฏศิลป์ทั้งที่เป็นนักศึกษาของมหาวิทยาลัยและบุตรหลานจากชุมชนภายนอกไปแสดงในงานและพิธีการในระดับชาติ เช่น มีการจัดแสดงนาฏศิลป์และดนตรีไทยสำหรับผู้เข้าร่วมประชุมนานาชาติ SNLP2009: the Eight International Symposium on Natural Language Processing ผู้เข้าอบรมของศูนย์นิเทศศาสตร์พัฒนาการแห่งภูมิภาคเอเชียและแปซิฟิกเข้าเยี่ยมชมศูนย์วัฒนธรรม</t>
  </si>
  <si>
    <t xml:space="preserve"> - นโยบายงบประมาณประจำปีตามรายงานการประชุมผู้บริหาร
- เอกสารประชุมงบประมาณประจำปี
- แบบฟอร์มข้อมูลโครงการ/กิจกรรม
</t>
  </si>
  <si>
    <t>มีการตั้งงบประมาณตามนโยบายของมหาวิทยาลัย มีกระบวนการพิจารณางบประมาณโดยรองอธิการบดี  อธิการบดี และกรรมการสภา มีการจัดทำรายงานการใช้งบประมาณประจำเดือน  มีการตรวจสอบรายการเบิกจ่ายเงินให้เป็นไปตามกฎระเบียบ มีการมอบอำนาจอนุมัติทางการเงินที่ชัดเจน</t>
  </si>
  <si>
    <t xml:space="preserve"> มีการจัดทำรายงานวิเคราะห์เปรียบเทียบการใช้งบประมาณเสนอต่อกรรมการอำนวยการ ซึ่งมีการบรรจุเป็นวาระการประชุมในส่วนของการพิจารณาการใช้เงินงบประมาณ  ผลประกอบการ รวมทั้งสถานะทางการเงิน เป็นประจำทุกเดือน</t>
  </si>
  <si>
    <t>มีการใช้ทรัพยากรร่วมกันกับหน่วยงานอื่นนอกมหาวิทยาลัย เช่น การให้บริการใช้อาคารสถานที่กับหน่วยงานภายนอก เช่น โรงเรียน เขตพื้นที่การศึกษา และหน่วยงานราชการ  บุคลากรภายนอกในการใช้สนามกีฬาและห้องสมุด  ใช้ห้องเรียนในการสอบคัดเลือกของ สกอ. และหน่วยงานราชการอื่นๆ</t>
  </si>
  <si>
    <t xml:space="preserve">ได้วิเคราะห์การประหยัดงบประมาณจากการใช้ห้องเรียน ห้องปฏิบัติการคอมพิวเตอร์ และยานพาหนะร่วมกันของคณะวิชา พบว่าเกิดการประหยัดประมาณ  3,632,295 (ค่ารถ) + 6,402,000 (ค่าห้องเรียน) + 22,685,750 (ค่าคอมพิวเตอร์) = 32,720,045 บาท   </t>
  </si>
  <si>
    <t xml:space="preserve">- ระบบการประกันคุณภาพภายในของมหาวิทยาลัยเริ่มตั้งแต่ ปี  2542  โดยนำระบบบริหารคุณภาพตามข้อกำหนดมาตรฐานสากล ISO มาใช้  และได้รับการรับรองตามข้อกำหนดของมาตรฐานสากล ISO 9001:2000 ในปี 2544 ทุกระบบและทุกงาน และในปีเดียวกันได้กำหนดให้ทุกคณะวิชา สถาบัน และหน่วยงานจัดทำรายงานการประเมินตนเองขึ้นโดยปรับรูปแบบการรายงานการประเมินตนเองและตัวบ่งชี้จากของทบวงมหาวิทยาลัยให้สอดคล้องกับสภาพการดำเนินงานของมหาวิทยาลัย  
- มีการปรับปรุงตัวบ่งชี้ให้เหมาะสมทุกปี และได้ใช้ตัวบ่งชี้ของสกอ. ในปีการศึกษา 2550 รวมทั้งตัวบ่งชี้ของระบบ ISO ที่ใช้มาตลอดตั้งแต่ปี 2542       
- ในปีการศึกษา 2551 เป็นปีที่เริ่มการดำเนินการตามแผนกลยุทธ์ของมหาวิทยาลัย (2551-2555) มหาวิทยาลัยจึงได้กำหนดตัวบ่งชี้ที่คณะวิชาต้องรายงานตามแผนกลยุทธ์ถือเป็นส่วนหนึ่งของระบบการประกันคุณภาพภายใน ตัวบ่งชี้นี้มีจำนวน  21 ตัวบ่งชี้ นอกจากตัวบ่งชี้ตามระบบของ สกอ. และตัวบ่งชี้ตามแผนกลยุทธ์แล้ว มหาวิทยาลัยยังใช้ระบบ ISO 9001 ซึ่ง upgrade จาก version 2000 เป็น 2008 ในเดือนมีนาคม 2552  เป็นส่วนหนึ่งของระบบการประกันคุณภาพภายในด้วย โดยรับการตรวจจากผู้ตรวจภายนอก BVQI Thailand Ltd. ทุก 6 เดือน และได้รับการรับรองว่ามหาวิทยาลัยธุรกิจบัณฑิตย์บริหารงานตามข้อกำหนดมาตรฐานสากลทุกข้ออย่างต่อเนื่อง                             </t>
  </si>
  <si>
    <t xml:space="preserve"> - สำหรับปีการศึกษา 2552 ได้ดำเนินการใช้ระบบการประกันคุณภาพภายในของ สกอ. 9 องค์ประกอบ 44 ตัวบ่งชี้ต่อเนื่องมาจากปี 2551 โดยมหาวิทยาลัยอยู่ในกลุ่มสถาบันที่เน้นการผลิตบัณฑิตและพัฒนาสังคม จึงใช้  40 ตัวบ่งชี้ และได้กำหนดตัวบ่งชี้ที่ใช้ในระดับคณะวิชา ภาควิชา และในหน่วยงานสนับสนุนเหมือนเดิมตามที่เคยกำหนดไว้ในปี 2551 มีตัวบ่งชี้ของระบบ ISO และตัวบ่งชี้ตามแผนพัฒนามหาวิทยาลัย โดยกำหนดให้ประเมินคุณภาพภายในระดับภาควิชา คณะวิชา และมหาวิทยาลัย</t>
  </si>
  <si>
    <t>การประกันคุณภาพภายในของมหาวิทยาลัยได้ดำเนินการมาตั้งแต่ปีการศึกษา 2542 ตามระบบบริหารคุณภาพสากล  ISO กำหนดให้มีการตรวจติดตามและตรวจสอบทุกงานตามช่วงเวลาที่ดำเนินงานของแต่ละงาน และมีผู้ตรวจภายนอกจาก  BVQI มาตรวจทุก 6 เดือน  ส่วนตัวบ่งชี้อื่นๆ ตามระบบการประกันคุณภาพภายในได้มีการประเมินเมื่อสิ้นปีการศึกษา และทำมาอย่างต่อเนื่องตั้งแต่ปีการศึกษา  2544</t>
  </si>
  <si>
    <t xml:space="preserve">- ในการบรรยายเรื่องการประกันคุณภาพการศึกษาของวิชาองค์รวมแห่งชีวิตที่นักศึกษาทุกคนต้องเรียน มีการอธิบายวงจร  PDCA และการนำไปใช้ในการจัดทำกิจกรรมของนักศึกษา
- ในการจัดทำโครงการและกิจกรรมของนักศึกษา  ต้องทำแผนงานซึ่งอยู่ในข้อเสนอของโครงการเพื่อของบประมาณเมื่อดำเนินงานเสร็จสิ้นต้องจัดทำรายงานการปฏิบัติงานและมีการประเมินผลการปฏิบัติงาน  เอกสารเหล่านี้จะจัดเก็บเพื่อให้นักศึกษารุ่นต่อๆ ไปได้ศึกษาก่อนนำเสนอโครงการและกิจกรรมประเภทเดียวกัน  ซึ่งการดำเนินการลักษณะนี้เป็นการดำเนินการครบวงจร PDCA  
</t>
  </si>
  <si>
    <t xml:space="preserve">- นักศึกษาแสดงความเห็นเกี่ยวกับการเรียนการสอนโดยกรอกข้อมูลในแบบสำรวจซึ่งดำเนินการภาคการศึกษาละ 2 ครั้ง ก่อนสอบกลางภาค และก่อนสอบปลายภาค คะแนนแสดงระดับความเห็นของนักศึกษาในฉบับก่อนสอบปลายภาค นำมาประมวลเป็นคะแนนของนักศึกษารายกลุ่มเรียน  รายวิชา สรุปเป็นค่าเฉลี่ยของภาควิชาและคณะวิชา  และนำเสนอผู้บริหารเพื่อให้ทราบแนวโน้มของคะแนน
- ระบบ ISO ได้จัดทำระบบการร้องเรียนของนักศึกษาในเรื่องต่างๆ เช่น การบริการนักศึกษา ปัญหาในการเรียนการสอนโดยนักศึกษาสามารถร้องเรียนผ่าน  website ของมหาวิทยาลัยผ่านเอกสารคำร้อง หรือ แจ้งเจ้าหน้าที่ศูนย์บริการนักศึกษา
- ปีการศึกษา 2552  ปรับองค์ประกอบของกรรมการพัฒนาระบบประกันคุณภาพการศึกษาของมหาวิทยาลัย  โดยมีตัวแทนสโมสรนักศึกษาเข้าเป็นกรรมการด้วย
</t>
  </si>
  <si>
    <t xml:space="preserve"> - สรุปโครงการสัมมนาอาจารย์ที่ปรึกษา และผู้นำนักศึกษา
- สรุปโครงการสัมมนาเครือข่ายผู้นำนิสิต</t>
  </si>
  <si>
    <t xml:space="preserve"> - มหาวิทยาลัยจัดโครงการสัมมนาอาจารย์ที่ปรึกษาและผู้นำนักศึกษา วันที่  1-3 เมษายน  2553  นักศึกษาที่เข้าร่วมโครงการ ได้แก่ สโมสรนักศึกษา ประธานคณะวิชา และชมรมกิจกรรม จำนวน  69 คน หัวข้อในการสัมมนาเกี่ยวข้องกับการใช้การประกันคุณภาพในการจัดกิจกรรมนักศึกษา ได้แก่ การเขียนแผนการจัดโครงการ การขออนุมัติงบประมาณ และการเขียนประเมินผลการจัดโครงการ และมีการแบ่งกลุ่มสัมมนาย่อยเกี่ยวกับประเด็นปัญหาการจัดกิจกรรม กิจกรรมนี้ถือเป็นการสร้างเครือข่ายการพัฒนาคุณภาพภายในสถาบัน
- เข้าร่วมโครงการสัมมนาเครือข่ายผู้นำนิสิตระหว่างวันที่  14-15  พฤษภาคม  2553 จัดโดยมหาวิทยาลัยเกษตรศาสตร์ หัวข้อการสัมมนาเกี่ยวกับการดำเนินงานประกันคุณภาพการดำเนินงานกิจกรรมนิสิตนักศึกษา การแลกเปลี่ยนเรียนรู้แนวปฏิบัติที่ดีด้านกิจกรรมนิสิตนักศึกษา ตัวบ่งชี้เพื่อการประกันคุณภาพของกิจกรรมนิสิตนักศึกษา การจัดทำรายงานการประเมินตนเอง และกิจกรรมการสร้างเครือข่าย กิจกรรมนี้ถือเป็นการสร้างเครือข่ายการพัฒนาคุณภาพระหว่างสถาบัน</t>
  </si>
  <si>
    <t>แผนพัฒนามหาวิทยาลัย ปีการศึกษา 2551-2555</t>
  </si>
  <si>
    <t>เอกสารโครงการ/กิจกรรมของสำนักกิจการนักศึกษา</t>
  </si>
  <si>
    <t>ในแผนพัฒนามหาวิทยาลัยธุรกิจบัณฑิตย์ ปีการศึกษา  2551-2555 กำหนดกลยุทธ์ย่อยที่  1.6 จัดกิจกรรมเพื่อพัฒนานักศึกษาให้เป็นบัณฑิตที่พึงประสงค์ ซึ่งครอบคลุมถึงการพัฒนาคุณลักษณะของนักศึกษาตามนโยบาย 3 ดี (3D)  โดยมีสำนักกิจการนักศึกษาเป็นหน่วยงานหลักที่รับผิดชอบการจัดโครงการ/กิจกรรมต่างๆ ให้เกิดขึ้น</t>
  </si>
  <si>
    <t xml:space="preserve">ด้านภูมิคุ้มกันภัยจากยาเสพติด:   
- การอบรมเชิงปฏิบัติการ "เครือข่ายแกนนำนักศึกษาต้านภัยยาเสพติดและเอดส์"
- กิจกรรมของชมรมกีฬา และดนตรีเพื่อให้นักศึกษาได้ใช้เวลาอย่างมีประโยชน์
</t>
  </si>
  <si>
    <t xml:space="preserve">สำนักกิจการนักศึกษาจัดโครงการ/กิจกรรมเพื่อพัฒนานักศึกษาตามนโยบาย 3ดี เช่น  
ด้านประชาธิปไตย:  
- โครงการเลือกตั้งสโมสรนักศึกษา 53  / คณะวิชา / สาขาวิชา
- การเลือกตั้งคณะกรรมการชมรม / กลุ่ม 
- โครงการประชุมสามัญสโมสร 1/52 และ 2/52
- โครงการอบรมหลักสูตรการจัดการความขัดแย้งให้คณาจารย์ด้านกิจการนักศึกษา และผู้นำนักศึกษาทุกระดับตั้งแต่สโมสรนักศึกษา คณะ ชมรม กลุ่ม
ด้านคุณธรรมจริยธรรม:   
- โครงการนพรัตน์ทองคำ  ประจำปีการศึกษา 2552
- โครงการส่งเสริมคุณธรรมจริยธรรมนักศึกษา "รักแม่สุดดวงใจ"
- โครงการค่ายเครือข่ายแกนนำนักศึกษาขับเคลื่อนปรัชญาเศรษฐกิจพอเพียง
- โครงการค่ายพี่สอนน้อง "แนวคิดใหม่ ชีวิตสดใส เพื่อสร้างความสุขอย่างยั่งยืน" (คุณธรรมนำชีวิตพอเพียง)
- โครงการส่งเสริมคุณธรรมจริยธรรมนักศึกษา "รักพ่อ เชื่อพ่อ อยู่อย่างพอเพียง"
- โครงการสุภาพชน คนรุ่นใหม่
- โครงการวินัย หัวใจสู่ความสำเร็จ
- โครงการเรียนรู้  ดูชีวิต  คิดแก้ไข
- โครงการบรรพชา  อุปสมบทหมู่
</t>
  </si>
  <si>
    <t xml:space="preserve">สำนักกิจการนักศึกษาเป็นหน่วยงานของมหาวิทยาลัยที่ให้ความร่วมมือกับหน่วยงานภายนอก และประสานงานระหว่างหน่วยงานต่างๆ ในมหาวิทยาลัยในการดำเนินงานนโยบายคุณภาพสถานศึกษา 3 ดี อาทิ เช่น คณะวิชาทั้ง 10 คณะ  สโมสรนักศึกษา  คณะกรรมการ สสอท.
</t>
  </si>
  <si>
    <t>เอกสารโครงการ/กิจกรรมต่างๆ ที่ระบุในข้อ 2</t>
  </si>
  <si>
    <t xml:space="preserve"> มหาวิทยาลัยโดยฝ่ายแผนงานจะติดตามการดำเนินงานตามแผนปฏิบัติงานทุกภาคการศึกษา และแผนพัฒนามหาวิทยาลัยทุกปีการศึกษาซึ่งเป็นการกำกับการดำเนินงานตามแผนปฏิบัติงานที่เกี่ยวกับสถานศึกษา 3 ดี
</t>
  </si>
  <si>
    <t>แบบฟอร์มการรายงานผลการปฏิบัติงาน</t>
  </si>
  <si>
    <t>2.4 ตัวบ่งชี้ตามแผนพัฒนามหาวิทยาลัยที่ประเมินคณะวิชา</t>
  </si>
  <si>
    <t>ภาคผนวก</t>
  </si>
  <si>
    <t xml:space="preserve">ผ.1 ข้อมูลพื้นฐาน  </t>
  </si>
  <si>
    <t xml:space="preserve">     หลักสูตรประกาศนียบัตรบัณฑิต สาขาวิชาการจัดการการศึกษา</t>
  </si>
  <si>
    <t>ผ.3 คะแนนผลการประเมินคุณภาพการศึกษาภายในระดับคณะวิชา และคะแนนการประเมินตนเองระดับมหาวิทยาลัย</t>
  </si>
  <si>
    <r>
      <t xml:space="preserve">PM 16 
</t>
    </r>
    <r>
      <rPr>
        <sz val="14"/>
        <rFont val="Browallia New"/>
        <family val="2"/>
      </rPr>
      <t xml:space="preserve">งานจัดสอบและการประเมินผลการเรียนของนักศึกษา </t>
    </r>
  </si>
  <si>
    <t>2. ร้อยละของจำนวนวิชาที่อาจารย์ส่งผลการสอบตรงตามเวลาที่กำหนดต่อจำนวนวิชาที่เปิดสอนในแต่ละภาคการศึกษา
(ไม่ต่ำกว่าร้อยละ 95)</t>
  </si>
  <si>
    <t>3. ร้อยละของจำนวนนักศึกษาที่อาจารย์ส่งผลการสอบถูกต้องต่อจำนวนนักศึกษาที่เข้าสอบในแต่ละวิชาที่อาจารย์สอน
(ไม่ต่ำกว่าร้อยละ 98)</t>
  </si>
  <si>
    <t>3. ค่าเฉลี่ยความคิดเห็นของนักศึกษาที่มีต่อการสอนของอาจารย์ในคณะ ในแต่ละภาคการศึกษา (3.80 จากคะแนนเต็ม 5)</t>
  </si>
  <si>
    <t xml:space="preserve">ผ.2 หลักสูตร  </t>
  </si>
  <si>
    <t>ผู้บริหารระดับรองอธิการบดีและคณบดีได้พิจารณาคัดเลือกจากผู้มีความรู้ความสามารถ การประเมินเป็นการให้เขียนรายงานการประเมินตนเองโดยพิจารณา  3 ประเด็น คือ การบริหารจัดการงานปกติ การพัฒนางาน และการสร้างนวัตกรรม การประชุมสัมมนาจึงเป็นแนวทางที่เหมาะสมในการพัฒนาศักยภาพของผู้บริหาร จึงไม่จำเป็นและไม่เหมาะสมที่จะจัดหลักสูตรอบรมแก่ผู้บริหารระดับรองอธิการบดีและคณบดี แต่ได้จัดสัมมนาผู้บริหารเกี่ยวกับทิศทางการพัฒนามหาวิทยาลัย และให้คณบดีนำเสนอแผนพัฒนาคณะวิชาให้สอดคล้องกับแผนพัฒนามหาวิทยาลัย มีการจัด QA Series และการนำเสนอ Best Practice ในการประชุมผู้บริหาร ในส่วนของรองคณบดีและหัวหน้าภาควิชาได้จัดหลักสูตรอบรมผู้บริหารโดยกำหนดหัวข้อที่จำเป็นสำหรับผู้บริหารและมีการทดสอบความรู้ก่อนการอบรมและหลังการอบรมส่งให้คณบดีได้รับทราบซึ่งจัดเมื่อเมษายน 2551 แต่เนื่องจากไม่ได้มีการปรับเปลี่ยนผู้บริหารระดับนี้บ่อยการฝึกอบรมจึงไม่ได้จัดทุกปี ในปีการศึกษา 2552 มหาวิทยาลัยได้เริ่มกำหนดสมรรถนะสำหรับบุคลากรและผู้บริหาร เมื่อดำเนินการเสร็จจะนำมาเชื่อมโยงกับการประเมินผลการปฏิบัติงานและการจัดหลักสูตรฝึกอบรมต่อไปก</t>
  </si>
  <si>
    <t>การประเมินผลการปฏิบัติงานของผู้บริหารมีรูปแบบและแนวทางเป็นลายลักษณ์อักษรโดยผู้บริหารระดับรองอธิการบดี คณบดี ผู้อำนวยการจัดทำรายงานการประเมินตนเองถึงผลการปฏิบัติงานตามหน้าที่ การพัฒนางานปัจจุบัน และการสร้างนวัตกรรมในงานขึ้นใหม่ ผู้บริหารระดับรองลงไปและผู้ปฏิบัติงานสายวิชาการจะประเมินตามผลการปฏิบัติงานในด้านต่างๆ 7 ด้าน ซึ่งระบุคะแนนประเมินชัดเจนสำหรับผลงานในแต่ละด้าน ส่วนผู้บริหารและผู้ปฏิบัติงานสายสนับสนุนประเมินผลการปฏิบัติงานในแต่ละเรื่องระดับคะแนน 0 ถึง 10</t>
  </si>
  <si>
    <t>มีหน่วยงานตรวจสอบภายใน และภายนอกทำหน้าที่ตรวจสอบการใช้จ่ายเป็นไปตามระเบียบและกฎเกณฑ์ที่กำหนด  รวมทั้งตรวจรับรองงบการเงินตามที่ สกอ.  กำหนด นอกจากนี้ยังมีการประเมินระบบควบคุมภายในเป็นระยะ</t>
  </si>
  <si>
    <t xml:space="preserve">ตัวบ่งชี้การประกันคุณภาพภายใน ประกอบด้วย ตัวบ่งชี้ของ  สกอ.   ตัวบ่งชี้ระบบบริหารคุณภาพสากล ISO และแผนกลยุทธ์ 5 ปี ซึ่งสอดคล้องกับมาตรฐานการอุดมศึกษา มาตรฐานหลักสูตร และมาตรฐานอื่นๆ ที่เกี่ยวข้อง และสามารถรองรับการประเมินคุณภาพภายนอกได้ </t>
  </si>
  <si>
    <t>สำนักกิจการนักศึกษากำหนดให้มีการจัดโครงการเพิ่มประสบการณ์ความสามารถผู้นำนักศึกษามหาวิทยาลัยเอกชน (3D) โดยมีผู้นำนักศึกษา อาจารย์ที่ปรึกษาเข้าร่วมโครงการด้วย เมื่อวันที่ 3 – 5 กุมภาพันธ์ 2553 ณ มหาวิทยาลัยธุรกิจบัณฑิตย์</t>
  </si>
  <si>
    <t>เอกสารโครงการเพิ่มประสบการณ์ความสามารถผู้นำนักศึกษามหาวิทยาลัยเอกชน (3D)</t>
  </si>
  <si>
    <t>- การแลกเปลี่ยนเรียนรู้จากการประเมินคุณภาพการศึกษาภายในที่เรียกว่า  QA Series  เป็นประโยชน์มาก ทำให้มีการปรับตัวบ่งชี้ในระดับคณะและภาควิชา และทำให้ผู้เข้าร่วมประชุมมีความเข้าใจชัดเจนยิ่งขึ้นในการปฏิบัติงานให้สอดคล้องกับเกณฑ์การประเมิน
- จากการใช้เว็บ KM พบว่า การจัดหัวข้อยังไม่ชัดเจน และการเข้าใช้งานเว็บยังค่อนข้างยาก จึงได้มีการปรับปรุงเว็บเพื่อให้เอื้อต่อการเข้าถึงและนำความรู้ไปใช้ให้มากขึ้น 
- ในการประชุมคณะกรรมการฯ มีการนำเสนอเว็บ KM  ให้ที่ประชุมพิจารณาให้ความเห็นเพื่อการปรับปรุงทั้งรูปแบบความน่าสนใจและเนื้อหา                
- คะแนนประเมินผลการจัดการแลกเปลี่ยนเรียนรู้ในเรื่องการประกันคุณภาพการศึกษาและเรื่องอื่นๆ มีค่าคะแนนเฉลี่ยระหว่าง 3.84-4.60 จากการประเมินผลพบว่ามีค่าคะแนนเฉลี่ยในประเด็นรูปแบบของการแลกเปลี่ยนเรียนรู้น้อยที่สุดเมื่อเทียบกับ  7 ประเด็นที่สอบถาม จึงปรับรูปแบบกิจกรรมโดยให้ผู้เข้าร่วมกิจกรรมซึ่งมาจากหน่วยงานต่างๆ เล่าถึงวิธีการปฏิบัติงานของหน่วยงานตนที่เกี่ยวกับหัวข้อที่จัดขึ้น เพื่อให้เห็นตัวอย่างที่หลากหลายมากขึ้น</t>
  </si>
  <si>
    <t xml:space="preserve">มหาวิทยาลัยถือว่าระบบการบริหารคุณภาพมาตรฐานสากลและระบบการประเมินตนเองเป็นส่วนหนึ่งของการบริหารงาน  มีการดำเนินการตามระบบอย่างต่อเนื่อง โดยมีการเขียนรายละเอียดขั้นตอนของงาน   กำหนดตัวชี้วัดคุณภาพของงาน  กำหนดระบบป้องกันปัญหาที่เกิดขึ้น   รายงานผลการดำเนินงานเปรียบเทียบกับแผนงาน วิเคราะห์จุดแข็งจุดที่ต้องพัฒนาของหน่วยงาน  เขียนรายงานการประเมินตนเอง มีการตรวจประเมินคุณภาพของระบบ  ISO  ตรวจประเมินตามระบบของ สกอ. ระดับภาควิชา คณะวิชา และหน่วยงาน และนำผลจากการตรวจประเมินมาปรับปรุงงาน
 </t>
  </si>
  <si>
    <t xml:space="preserve">มหาวิทยาลัยได้นำผลจากรายงานการประเมินตนเองจากการตรวจคุณภาพ  ISO และการตรวจจาก  BVQI เสนอในที่ประชุมผู้บริหารและนำมาใช้ในการพัฒนางาน   รายงานการประเมินตนเองของหน่วยงานต่างๆ ต้องระบุว่าได้นำผลการประเมินในปีการศึกษาที่ผ่านมามาปรับปรุงอย่างไรบ้าง </t>
  </si>
  <si>
    <t>- มีการรับรองคุณภาพการสอนซึ่งเริ่มดำเนินการตั้งแต่ปีการศึกษา  2545 และผู้ตรวจประเมินคุณภาพภายนอกรอบสองจาก สมศ. ระบุในรายงานการประเมินให้เป็นนวัตกรรม และ สกอ. ได้คัดเลือกเป็นกิจกรรมพัฒนาอาจารย์นำเสนอในการสัมมนาวิชาการของ สกอ.  "การประชุมวิชาการระดับชาติ  2552 ปีแห่งคุณภาพการอุดมศึกษาไทย"  วันที่  2-3 กรกฎาคม  2552  ณ  ศูนย์แสดงสินค้าและการประชุมอิมแพ็ค เมืองทองธานี
- ปีการศึกษา  2552 จัดให้มีรางวัล  DPU QA AWARD 2009  แก่คณะวิชาและหน่วยงานสนับสนุนที่มีผลการประเมินคุณภาพภายในในระดับดีมาก และสูงสุด คณะวิชาที่มีคะแนนการดำเนินงานตามตัวบ่งชี้แผนกลยุทธ์สูงสุด และคณะวิชาที่มีคะแนนพัฒนาการประเมินสูงสุด เพื่อเป็นแนวปฏิบัติในการแลกเปลี่ยนเรียนรู้ร่วมกัน โดยมีพิธีมอบรางวัลในการประชุมคณะกรรมการบริหารมหาวิทยาลัยในวันที่  27 พฤศจิกายน 2552 และให้คณะวิชาและหน่วยงานที่มีคะแนนประเมินสูงสุดเป็นผู้นำสัมมนาในหัวข้อ "การแลกเปลี่ยนเรียนรู้ประสบการณ์จากการประกันคุณภาพภายใน ปีการศึกษา 2551"  ในวันที่  25  กันายน  2552 และ  30  ตุลาคม  2552</t>
  </si>
</sst>
</file>

<file path=xl/styles.xml><?xml version="1.0" encoding="utf-8"?>
<styleSheet xmlns="http://schemas.openxmlformats.org/spreadsheetml/2006/main">
  <numFmts count="14">
    <numFmt numFmtId="43" formatCode="_-* #,##0.00_-;\-* #,##0.00_-;_-* &quot;-&quot;??_-;_-@_-"/>
    <numFmt numFmtId="164" formatCode="0.000"/>
    <numFmt numFmtId="165" formatCode="#,##0.00;[Red]#,##0.00"/>
    <numFmt numFmtId="166" formatCode="#,##0.000"/>
    <numFmt numFmtId="167" formatCode="#,##0.##"/>
    <numFmt numFmtId="168" formatCode="&quot;ร้อยละ &quot;\ ##0.00"/>
    <numFmt numFmtId="169" formatCode="&quot;ร้อยละ &quot;#,##0.00"/>
    <numFmt numFmtId="170" formatCode="&quot;ร้อยละ &quot;\ ##0.00\ ;&quot;ร้อยละ &quot;\ \-##0.00"/>
    <numFmt numFmtId="171" formatCode="&quot;ร้อยละ &quot;\ ##0.00;&quot;ร้อยละ &quot;\-##0.00"/>
    <numFmt numFmtId="172" formatCode="&quot;ร้อยละ &quot;\ ##0.00;&quot;ร้อยละ &quot;\-\ ##0.00"/>
    <numFmt numFmtId="173" formatCode="&quot;ร้อยละ &quot;\ ##0.000"/>
    <numFmt numFmtId="174" formatCode="#,##0.0"/>
    <numFmt numFmtId="175" formatCode="#,##0.00_ ;\-#,##0.00\ "/>
    <numFmt numFmtId="176" formatCode="_-* #,##0_-;\-* #,##0_-;_-* &quot;-&quot;??_-;_-@_-"/>
  </numFmts>
  <fonts count="122">
    <font>
      <sz val="10"/>
      <name val="Arial"/>
      <charset val="222"/>
    </font>
    <font>
      <sz val="10"/>
      <name val="Arial"/>
      <family val="2"/>
    </font>
    <font>
      <sz val="10"/>
      <name val="Browallia New"/>
      <family val="2"/>
    </font>
    <font>
      <sz val="16"/>
      <name val="Browallia New"/>
      <family val="2"/>
    </font>
    <font>
      <b/>
      <sz val="16"/>
      <name val="Browallia New"/>
      <family val="2"/>
    </font>
    <font>
      <sz val="8"/>
      <name val="Arial"/>
      <family val="2"/>
    </font>
    <font>
      <b/>
      <sz val="14"/>
      <name val="Browallia New"/>
      <family val="2"/>
    </font>
    <font>
      <sz val="20"/>
      <name val="Browallia New"/>
      <family val="2"/>
    </font>
    <font>
      <b/>
      <sz val="20"/>
      <name val="Browallia New"/>
      <family val="2"/>
    </font>
    <font>
      <sz val="14"/>
      <name val="Browallia New"/>
      <family val="2"/>
    </font>
    <font>
      <sz val="16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sz val="13"/>
      <name val="Browallia New"/>
      <family val="2"/>
    </font>
    <font>
      <u/>
      <sz val="14"/>
      <name val="Browallia New"/>
      <family val="2"/>
    </font>
    <font>
      <sz val="14"/>
      <color indexed="10"/>
      <name val="Browallia New"/>
      <family val="2"/>
    </font>
    <font>
      <sz val="12"/>
      <name val="Browallia New"/>
      <family val="2"/>
    </font>
    <font>
      <sz val="14"/>
      <name val="BrowalliaUPC"/>
      <family val="2"/>
      <charset val="222"/>
    </font>
    <font>
      <b/>
      <sz val="14"/>
      <name val="BrowalliaUPC"/>
      <family val="2"/>
      <charset val="222"/>
    </font>
    <font>
      <sz val="13"/>
      <name val="Browallia New"/>
      <family val="2"/>
    </font>
    <font>
      <u/>
      <sz val="10"/>
      <color indexed="12"/>
      <name val="Arial"/>
      <family val="2"/>
    </font>
    <font>
      <b/>
      <sz val="15"/>
      <name val="Browallia New"/>
      <family val="2"/>
    </font>
    <font>
      <sz val="14"/>
      <name val="Wingdings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indexed="10"/>
      <name val="Wingdings"/>
      <charset val="2"/>
    </font>
    <font>
      <sz val="10"/>
      <color indexed="9"/>
      <name val="Wingdings"/>
      <charset val="2"/>
    </font>
    <font>
      <sz val="14"/>
      <color indexed="12"/>
      <name val="Browallia New"/>
      <family val="2"/>
    </font>
    <font>
      <b/>
      <sz val="14"/>
      <color indexed="8"/>
      <name val="Browallia New"/>
      <family val="2"/>
    </font>
    <font>
      <b/>
      <sz val="12"/>
      <name val="Browallia New"/>
      <family val="2"/>
    </font>
    <font>
      <sz val="13"/>
      <color indexed="12"/>
      <name val="Browallia New"/>
      <family val="2"/>
    </font>
    <font>
      <sz val="11"/>
      <name val="Browallia New"/>
      <family val="2"/>
    </font>
    <font>
      <u/>
      <sz val="13"/>
      <name val="Browallia New"/>
      <family val="2"/>
    </font>
    <font>
      <b/>
      <sz val="10"/>
      <name val="Browallia New"/>
      <family val="2"/>
    </font>
    <font>
      <sz val="13"/>
      <color indexed="10"/>
      <name val="Browallia New"/>
      <family val="2"/>
    </font>
    <font>
      <sz val="14"/>
      <color indexed="16"/>
      <name val="Browallia New"/>
      <family val="2"/>
    </font>
    <font>
      <sz val="12"/>
      <color indexed="12"/>
      <name val="Browallia New"/>
      <family val="2"/>
    </font>
    <font>
      <b/>
      <sz val="14"/>
      <color indexed="10"/>
      <name val="Browallia New"/>
      <family val="2"/>
    </font>
    <font>
      <b/>
      <sz val="14"/>
      <color indexed="58"/>
      <name val="Browallia New"/>
      <family val="2"/>
    </font>
    <font>
      <b/>
      <sz val="12"/>
      <color indexed="58"/>
      <name val="Browallia New"/>
      <family val="2"/>
    </font>
    <font>
      <b/>
      <sz val="10"/>
      <color indexed="58"/>
      <name val="Browallia New"/>
      <family val="2"/>
    </font>
    <font>
      <sz val="13"/>
      <color indexed="58"/>
      <name val="Browallia New"/>
      <family val="2"/>
    </font>
    <font>
      <b/>
      <sz val="14"/>
      <color indexed="12"/>
      <name val="Browallia New"/>
      <family val="2"/>
    </font>
    <font>
      <sz val="14"/>
      <color indexed="12"/>
      <name val="Wingdings"/>
      <charset val="2"/>
    </font>
    <font>
      <sz val="15"/>
      <color indexed="12"/>
      <name val="Browallia New"/>
      <family val="2"/>
    </font>
    <font>
      <sz val="13"/>
      <color indexed="59"/>
      <name val="Browallia New"/>
      <family val="2"/>
    </font>
    <font>
      <b/>
      <sz val="18"/>
      <name val="Browallia New"/>
      <family val="2"/>
    </font>
    <font>
      <sz val="15"/>
      <name val="Browallia New"/>
      <family val="2"/>
    </font>
    <font>
      <sz val="18"/>
      <name val="Browallia New"/>
      <family val="2"/>
    </font>
    <font>
      <b/>
      <sz val="14"/>
      <color indexed="17"/>
      <name val="Browallia New"/>
      <family val="2"/>
    </font>
    <font>
      <sz val="14"/>
      <color indexed="17"/>
      <name val="Browallia New"/>
      <family val="2"/>
    </font>
    <font>
      <sz val="13"/>
      <color indexed="60"/>
      <name val="Browallia New"/>
      <family val="2"/>
    </font>
    <font>
      <sz val="14"/>
      <color indexed="60"/>
      <name val="Browallia New"/>
      <family val="2"/>
    </font>
    <font>
      <sz val="12"/>
      <name val="Arial"/>
      <family val="2"/>
    </font>
    <font>
      <b/>
      <sz val="22"/>
      <name val="Browallia New"/>
      <family val="2"/>
    </font>
    <font>
      <sz val="22"/>
      <name val="Browallia New"/>
      <family val="2"/>
    </font>
    <font>
      <sz val="18"/>
      <name val="Arial"/>
      <family val="2"/>
    </font>
    <font>
      <b/>
      <sz val="12"/>
      <color indexed="9"/>
      <name val="Browallia New"/>
      <family val="2"/>
    </font>
    <font>
      <b/>
      <u/>
      <sz val="11"/>
      <name val="Browallia New"/>
      <family val="2"/>
    </font>
    <font>
      <b/>
      <sz val="11"/>
      <name val="Browallia New"/>
      <family val="2"/>
    </font>
    <font>
      <sz val="12"/>
      <color indexed="10"/>
      <name val="Browallia New"/>
      <family val="2"/>
    </font>
    <font>
      <sz val="15"/>
      <color indexed="10"/>
      <name val="Browallia New"/>
      <family val="2"/>
    </font>
    <font>
      <b/>
      <sz val="14"/>
      <color indexed="9"/>
      <name val="Browallia New"/>
      <family val="2"/>
    </font>
    <font>
      <sz val="15"/>
      <name val="Wingdings"/>
      <charset val="2"/>
    </font>
    <font>
      <u/>
      <sz val="15"/>
      <name val="Browallia New"/>
      <family val="2"/>
    </font>
    <font>
      <sz val="14"/>
      <color indexed="62"/>
      <name val="Browallia New"/>
      <family val="2"/>
    </font>
    <font>
      <b/>
      <sz val="18"/>
      <color indexed="12"/>
      <name val="Browallia New"/>
      <family val="2"/>
    </font>
    <font>
      <b/>
      <sz val="18"/>
      <color rgb="FF3333FF"/>
      <name val="Browallia New"/>
      <family val="2"/>
    </font>
    <font>
      <sz val="18"/>
      <color rgb="FF3333FF"/>
      <name val="Browallia New"/>
      <family val="2"/>
    </font>
    <font>
      <sz val="18"/>
      <color indexed="12"/>
      <name val="Browallia New"/>
      <family val="2"/>
    </font>
    <font>
      <sz val="16"/>
      <color rgb="FF3333FF"/>
      <name val="Browallia New"/>
      <family val="2"/>
    </font>
    <font>
      <sz val="16"/>
      <name val="Wingdings"/>
      <charset val="2"/>
    </font>
    <font>
      <sz val="16"/>
      <color rgb="FFFF0000"/>
      <name val="Browallia New"/>
      <family val="2"/>
    </font>
    <font>
      <b/>
      <sz val="16"/>
      <color rgb="FFFF0000"/>
      <name val="Browallia New"/>
      <family val="2"/>
    </font>
    <font>
      <sz val="14"/>
      <color theme="1"/>
      <name val="BrowalliaUPC"/>
      <family val="2"/>
      <charset val="222"/>
    </font>
    <font>
      <sz val="13"/>
      <color rgb="FF002060"/>
      <name val="Browallia New"/>
      <family val="2"/>
    </font>
    <font>
      <sz val="16"/>
      <color rgb="FFFF0000"/>
      <name val="Arial"/>
      <family val="2"/>
    </font>
    <font>
      <u/>
      <sz val="16"/>
      <name val="Browallia New"/>
      <family val="2"/>
    </font>
    <font>
      <b/>
      <sz val="16"/>
      <name val="Wingdings 2"/>
      <family val="1"/>
      <charset val="2"/>
    </font>
    <font>
      <b/>
      <sz val="16"/>
      <name val="Arial"/>
      <family val="2"/>
    </font>
    <font>
      <sz val="16"/>
      <color theme="1"/>
      <name val="Browallia New"/>
      <family val="2"/>
    </font>
    <font>
      <u/>
      <sz val="16"/>
      <name val="Wingdings"/>
      <charset val="2"/>
    </font>
    <font>
      <sz val="16"/>
      <color indexed="12"/>
      <name val="Wingdings"/>
      <charset val="2"/>
    </font>
    <font>
      <sz val="16"/>
      <color indexed="10"/>
      <name val="Browallia New"/>
      <family val="2"/>
    </font>
    <font>
      <sz val="16"/>
      <color indexed="62"/>
      <name val="Browallia New"/>
      <family val="2"/>
    </font>
    <font>
      <b/>
      <sz val="16"/>
      <color indexed="12"/>
      <name val="Browallia New"/>
      <family val="2"/>
    </font>
    <font>
      <sz val="16"/>
      <color indexed="12"/>
      <name val="Browallia New"/>
      <family val="2"/>
    </font>
    <font>
      <sz val="14"/>
      <color indexed="63"/>
      <name val="Browallia New"/>
      <family val="2"/>
    </font>
    <font>
      <b/>
      <sz val="16"/>
      <color theme="3"/>
      <name val="Browallia New"/>
      <family val="2"/>
    </font>
    <font>
      <b/>
      <sz val="13"/>
      <color theme="3"/>
      <name val="Browallia New"/>
      <family val="2"/>
    </font>
    <font>
      <sz val="16"/>
      <color theme="3"/>
      <name val="Browallia New"/>
      <family val="2"/>
    </font>
    <font>
      <b/>
      <sz val="18"/>
      <color theme="3"/>
      <name val="Browallia New"/>
      <family val="2"/>
    </font>
    <font>
      <sz val="14"/>
      <color theme="3"/>
      <name val="Browallia New"/>
      <family val="2"/>
    </font>
    <font>
      <b/>
      <sz val="14"/>
      <color rgb="FFFF0000"/>
      <name val="Browallia New"/>
      <family val="2"/>
    </font>
    <font>
      <sz val="14"/>
      <color rgb="FFFF0000"/>
      <name val="Browallia New"/>
      <family val="2"/>
    </font>
    <font>
      <b/>
      <sz val="14"/>
      <color theme="0"/>
      <name val="Browallia New"/>
      <family val="2"/>
    </font>
    <font>
      <b/>
      <sz val="16"/>
      <color rgb="FF3333FF"/>
      <name val="Browallia New"/>
      <family val="2"/>
    </font>
    <font>
      <u/>
      <sz val="12"/>
      <name val="Browallia New"/>
      <family val="2"/>
    </font>
    <font>
      <i/>
      <sz val="16"/>
      <name val="Browallia New"/>
      <family val="2"/>
    </font>
    <font>
      <i/>
      <sz val="14"/>
      <name val="Browallia New"/>
      <family val="2"/>
    </font>
    <font>
      <sz val="14"/>
      <color rgb="FF00B050"/>
      <name val="Browallia New"/>
      <family val="2"/>
    </font>
    <font>
      <sz val="14"/>
      <color rgb="FF00B050"/>
      <name val="Arial"/>
      <family val="2"/>
    </font>
    <font>
      <b/>
      <sz val="16"/>
      <color indexed="81"/>
      <name val="Tahoma"/>
      <family val="2"/>
    </font>
    <font>
      <u/>
      <sz val="14"/>
      <color theme="0"/>
      <name val="Browallia New"/>
      <family val="2"/>
    </font>
    <font>
      <sz val="14"/>
      <color theme="0"/>
      <name val="Browallia New"/>
      <family val="2"/>
    </font>
    <font>
      <u/>
      <sz val="14"/>
      <color rgb="FFFF0000"/>
      <name val="Browallia New"/>
      <family val="2"/>
    </font>
    <font>
      <sz val="12"/>
      <color theme="0"/>
      <name val="Browallia New"/>
      <family val="2"/>
    </font>
    <font>
      <sz val="13"/>
      <color rgb="FFC00000"/>
      <name val="Browallia New"/>
      <family val="2"/>
    </font>
    <font>
      <b/>
      <sz val="14"/>
      <color rgb="FFC00000"/>
      <name val="Browallia New"/>
      <family val="2"/>
    </font>
    <font>
      <sz val="14"/>
      <color rgb="FFC00000"/>
      <name val="Browallia New"/>
      <family val="2"/>
    </font>
    <font>
      <b/>
      <sz val="14"/>
      <color rgb="FF3333FF"/>
      <name val="Browallia New"/>
      <family val="2"/>
    </font>
    <font>
      <b/>
      <sz val="12"/>
      <color theme="3"/>
      <name val="Browallia New"/>
      <family val="2"/>
    </font>
    <font>
      <b/>
      <sz val="20"/>
      <color theme="3"/>
      <name val="Browallia New"/>
      <family val="2"/>
    </font>
    <font>
      <sz val="15"/>
      <color rgb="FF3333FF"/>
      <name val="Browallia New"/>
      <family val="2"/>
    </font>
    <font>
      <sz val="16"/>
      <color rgb="FF002060"/>
      <name val="Browallia New"/>
      <family val="2"/>
    </font>
    <font>
      <b/>
      <sz val="11"/>
      <color indexed="81"/>
      <name val="Tahoma"/>
      <family val="2"/>
    </font>
    <font>
      <sz val="14"/>
      <color indexed="81"/>
      <name val="Tahoma"/>
      <family val="2"/>
    </font>
    <font>
      <b/>
      <sz val="16"/>
      <name val="Wingdings"/>
      <charset val="2"/>
    </font>
    <font>
      <b/>
      <sz val="24"/>
      <name val="Browallia New"/>
      <family val="2"/>
    </font>
    <font>
      <b/>
      <sz val="26"/>
      <name val="Browallia New"/>
      <family val="2"/>
    </font>
    <font>
      <sz val="14"/>
      <color theme="7"/>
      <name val="Browallia New"/>
      <family val="2"/>
    </font>
    <font>
      <sz val="14"/>
      <color theme="0"/>
      <name val="BrowalliaUPC"/>
      <family val="2"/>
      <charset val="22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144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/>
    <xf numFmtId="0" fontId="9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7" fillId="0" borderId="0" xfId="0" applyFont="1"/>
    <xf numFmtId="0" fontId="15" fillId="0" borderId="0" xfId="0" applyFont="1" applyBorder="1" applyAlignment="1">
      <alignment horizontal="left" vertical="top" wrapText="1"/>
    </xf>
    <xf numFmtId="0" fontId="15" fillId="0" borderId="0" xfId="0" quotePrefix="1" applyFont="1" applyBorder="1" applyAlignment="1">
      <alignment horizontal="left" vertical="top" wrapText="1"/>
    </xf>
    <xf numFmtId="0" fontId="9" fillId="0" borderId="0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21" fillId="0" borderId="0" xfId="0" applyFont="1"/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2" borderId="0" xfId="0" applyFont="1" applyFill="1"/>
    <xf numFmtId="0" fontId="2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3" fontId="9" fillId="0" borderId="5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11" fillId="0" borderId="0" xfId="0" applyFont="1" applyFill="1"/>
    <xf numFmtId="0" fontId="25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167" fontId="9" fillId="0" borderId="0" xfId="0" applyNumberFormat="1" applyFont="1"/>
    <xf numFmtId="0" fontId="9" fillId="0" borderId="0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 applyProtection="1">
      <alignment horizontal="center" vertical="top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4" fontId="27" fillId="0" borderId="5" xfId="0" applyNumberFormat="1" applyFont="1" applyBorder="1" applyAlignment="1">
      <alignment horizontal="center" vertical="center"/>
    </xf>
    <xf numFmtId="3" fontId="27" fillId="0" borderId="3" xfId="0" applyNumberFormat="1" applyFont="1" applyBorder="1" applyAlignment="1">
      <alignment horizontal="center" vertical="center"/>
    </xf>
    <xf numFmtId="3" fontId="27" fillId="0" borderId="9" xfId="0" applyNumberFormat="1" applyFont="1" applyFill="1" applyBorder="1" applyAlignment="1">
      <alignment horizontal="center" vertical="center"/>
    </xf>
    <xf numFmtId="4" fontId="27" fillId="0" borderId="3" xfId="0" applyNumberFormat="1" applyFont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3" fontId="27" fillId="0" borderId="3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wrapText="1"/>
    </xf>
    <xf numFmtId="0" fontId="28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2" fontId="18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/>
    </xf>
    <xf numFmtId="2" fontId="13" fillId="0" borderId="6" xfId="3" applyNumberFormat="1" applyFont="1" applyBorder="1" applyAlignment="1">
      <alignment horizontal="center" vertical="top"/>
    </xf>
    <xf numFmtId="3" fontId="32" fillId="0" borderId="4" xfId="0" applyNumberFormat="1" applyFont="1" applyBorder="1" applyAlignment="1">
      <alignment horizontal="center" vertical="center" wrapText="1"/>
    </xf>
    <xf numFmtId="2" fontId="13" fillId="0" borderId="6" xfId="3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top" wrapText="1"/>
    </xf>
    <xf numFmtId="0" fontId="19" fillId="0" borderId="13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2" fontId="13" fillId="0" borderId="12" xfId="3" applyNumberFormat="1" applyFont="1" applyBorder="1" applyAlignment="1">
      <alignment horizontal="center" vertical="top"/>
    </xf>
    <xf numFmtId="3" fontId="13" fillId="0" borderId="15" xfId="0" applyNumberFormat="1" applyFont="1" applyBorder="1" applyAlignment="1">
      <alignment horizontal="center" vertical="center"/>
    </xf>
    <xf numFmtId="2" fontId="13" fillId="0" borderId="12" xfId="3" applyNumberFormat="1" applyFont="1" applyBorder="1" applyAlignment="1">
      <alignment horizontal="center" vertical="center"/>
    </xf>
    <xf numFmtId="3" fontId="19" fillId="0" borderId="3" xfId="0" applyNumberFormat="1" applyFont="1" applyFill="1" applyBorder="1" applyAlignment="1">
      <alignment horizontal="center" vertical="top"/>
    </xf>
    <xf numFmtId="4" fontId="13" fillId="0" borderId="16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1" fontId="13" fillId="0" borderId="4" xfId="3" applyNumberFormat="1" applyFont="1" applyBorder="1" applyAlignment="1">
      <alignment horizontal="center" vertical="center"/>
    </xf>
    <xf numFmtId="1" fontId="13" fillId="0" borderId="16" xfId="3" applyNumberFormat="1" applyFont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17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5" fillId="6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9" fillId="6" borderId="9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2" fontId="9" fillId="6" borderId="5" xfId="0" applyNumberFormat="1" applyFont="1" applyFill="1" applyBorder="1" applyAlignment="1">
      <alignment horizontal="center" vertical="center"/>
    </xf>
    <xf numFmtId="2" fontId="9" fillId="6" borderId="7" xfId="0" applyNumberFormat="1" applyFont="1" applyFill="1" applyBorder="1" applyAlignment="1">
      <alignment horizontal="center" vertical="center"/>
    </xf>
    <xf numFmtId="3" fontId="9" fillId="6" borderId="1" xfId="0" applyNumberFormat="1" applyFont="1" applyFill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3" fontId="9" fillId="6" borderId="18" xfId="0" applyNumberFormat="1" applyFont="1" applyFill="1" applyBorder="1" applyAlignment="1">
      <alignment horizontal="center" vertical="center"/>
    </xf>
    <xf numFmtId="2" fontId="9" fillId="6" borderId="4" xfId="0" applyNumberFormat="1" applyFont="1" applyFill="1" applyBorder="1" applyAlignment="1">
      <alignment horizontal="center" vertical="center"/>
    </xf>
    <xf numFmtId="4" fontId="9" fillId="6" borderId="9" xfId="0" applyNumberFormat="1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4" fontId="9" fillId="6" borderId="7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center" vertical="center"/>
    </xf>
    <xf numFmtId="2" fontId="9" fillId="6" borderId="6" xfId="0" applyNumberFormat="1" applyFont="1" applyFill="1" applyBorder="1" applyAlignment="1">
      <alignment horizontal="center" vertical="center"/>
    </xf>
    <xf numFmtId="3" fontId="9" fillId="6" borderId="10" xfId="0" applyNumberFormat="1" applyFont="1" applyFill="1" applyBorder="1" applyAlignment="1">
      <alignment horizontal="center" vertical="center"/>
    </xf>
    <xf numFmtId="3" fontId="9" fillId="6" borderId="19" xfId="0" applyNumberFormat="1" applyFont="1" applyFill="1" applyBorder="1" applyAlignment="1">
      <alignment horizontal="center" vertical="center"/>
    </xf>
    <xf numFmtId="0" fontId="9" fillId="0" borderId="8" xfId="0" quotePrefix="1" applyFont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16" fillId="6" borderId="3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4" fontId="16" fillId="0" borderId="6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36" fillId="0" borderId="4" xfId="0" applyNumberFormat="1" applyFont="1" applyBorder="1" applyAlignment="1">
      <alignment horizontal="center" vertical="center"/>
    </xf>
    <xf numFmtId="4" fontId="36" fillId="0" borderId="4" xfId="0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/>
    <xf numFmtId="3" fontId="29" fillId="0" borderId="6" xfId="0" applyNumberFormat="1" applyFont="1" applyBorder="1" applyAlignment="1">
      <alignment horizontal="center" vertical="center"/>
    </xf>
    <xf numFmtId="0" fontId="19" fillId="0" borderId="0" xfId="0" applyFont="1"/>
    <xf numFmtId="0" fontId="13" fillId="0" borderId="4" xfId="0" applyFont="1" applyBorder="1"/>
    <xf numFmtId="0" fontId="19" fillId="0" borderId="6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/>
    </xf>
    <xf numFmtId="0" fontId="19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/>
    </xf>
    <xf numFmtId="0" fontId="19" fillId="0" borderId="23" xfId="0" applyFont="1" applyBorder="1" applyAlignment="1">
      <alignment horizontal="left" vertical="top"/>
    </xf>
    <xf numFmtId="0" fontId="19" fillId="0" borderId="3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22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24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/>
    </xf>
    <xf numFmtId="0" fontId="19" fillId="0" borderId="9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19" fillId="0" borderId="0" xfId="0" applyFont="1" applyBorder="1"/>
    <xf numFmtId="0" fontId="1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17" xfId="0" applyFont="1" applyBorder="1" applyAlignment="1">
      <alignment horizontal="left" vertical="top" wrapText="1"/>
    </xf>
    <xf numFmtId="3" fontId="33" fillId="0" borderId="6" xfId="0" applyNumberFormat="1" applyFont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" fillId="0" borderId="2" xfId="0" applyFont="1" applyBorder="1" applyAlignment="1">
      <alignment horizontal="left" vertical="top" wrapText="1"/>
    </xf>
    <xf numFmtId="3" fontId="3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3" fontId="38" fillId="0" borderId="6" xfId="0" applyNumberFormat="1" applyFont="1" applyBorder="1" applyAlignment="1">
      <alignment horizontal="center" vertical="center"/>
    </xf>
    <xf numFmtId="3" fontId="38" fillId="0" borderId="3" xfId="0" applyNumberFormat="1" applyFont="1" applyBorder="1" applyAlignment="1">
      <alignment horizontal="center" vertical="center"/>
    </xf>
    <xf numFmtId="3" fontId="38" fillId="0" borderId="9" xfId="0" applyNumberFormat="1" applyFont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3" fontId="38" fillId="0" borderId="7" xfId="0" applyNumberFormat="1" applyFont="1" applyBorder="1" applyAlignment="1">
      <alignment horizontal="center" vertical="center"/>
    </xf>
    <xf numFmtId="2" fontId="38" fillId="0" borderId="4" xfId="0" applyNumberFormat="1" applyFont="1" applyBorder="1" applyAlignment="1">
      <alignment horizontal="center" vertical="center"/>
    </xf>
    <xf numFmtId="2" fontId="38" fillId="0" borderId="5" xfId="0" applyNumberFormat="1" applyFont="1" applyBorder="1" applyAlignment="1">
      <alignment horizontal="center" vertical="center"/>
    </xf>
    <xf numFmtId="2" fontId="38" fillId="0" borderId="7" xfId="0" applyNumberFormat="1" applyFont="1" applyBorder="1" applyAlignment="1">
      <alignment horizontal="center" vertical="center"/>
    </xf>
    <xf numFmtId="4" fontId="38" fillId="0" borderId="9" xfId="0" applyNumberFormat="1" applyFont="1" applyFill="1" applyBorder="1" applyAlignment="1">
      <alignment horizontal="center" vertical="center"/>
    </xf>
    <xf numFmtId="4" fontId="38" fillId="0" borderId="7" xfId="0" applyNumberFormat="1" applyFont="1" applyFill="1" applyBorder="1" applyAlignment="1">
      <alignment horizontal="center" vertical="center"/>
    </xf>
    <xf numFmtId="3" fontId="38" fillId="0" borderId="6" xfId="0" applyNumberFormat="1" applyFont="1" applyFill="1" applyBorder="1" applyAlignment="1">
      <alignment horizontal="center" vertical="center"/>
    </xf>
    <xf numFmtId="3" fontId="39" fillId="0" borderId="6" xfId="0" applyNumberFormat="1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3" fontId="38" fillId="0" borderId="10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7" xfId="0" applyNumberFormat="1" applyFont="1" applyFill="1" applyBorder="1" applyAlignment="1">
      <alignment horizontal="center" vertical="center"/>
    </xf>
    <xf numFmtId="3" fontId="40" fillId="0" borderId="6" xfId="0" applyNumberFormat="1" applyFont="1" applyBorder="1" applyAlignment="1">
      <alignment horizontal="center" vertical="center"/>
    </xf>
    <xf numFmtId="3" fontId="40" fillId="0" borderId="7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3" fontId="38" fillId="0" borderId="9" xfId="0" applyNumberFormat="1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4" fontId="29" fillId="0" borderId="6" xfId="0" applyNumberFormat="1" applyFont="1" applyFill="1" applyBorder="1" applyAlignment="1">
      <alignment horizontal="center" vertical="center"/>
    </xf>
    <xf numFmtId="4" fontId="29" fillId="0" borderId="3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4" fontId="29" fillId="0" borderId="4" xfId="0" applyNumberFormat="1" applyFont="1" applyFill="1" applyBorder="1" applyAlignment="1">
      <alignment horizontal="center" vertical="center"/>
    </xf>
    <xf numFmtId="4" fontId="41" fillId="0" borderId="9" xfId="0" quotePrefix="1" applyNumberFormat="1" applyFont="1" applyFill="1" applyBorder="1" applyAlignment="1">
      <alignment vertical="top" wrapText="1"/>
    </xf>
    <xf numFmtId="4" fontId="41" fillId="0" borderId="5" xfId="0" quotePrefix="1" applyNumberFormat="1" applyFont="1" applyFill="1" applyBorder="1" applyAlignment="1">
      <alignment vertical="top" wrapText="1"/>
    </xf>
    <xf numFmtId="4" fontId="41" fillId="0" borderId="7" xfId="0" quotePrefix="1" applyNumberFormat="1" applyFont="1" applyFill="1" applyBorder="1" applyAlignment="1">
      <alignment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vertical="top"/>
    </xf>
    <xf numFmtId="0" fontId="19" fillId="0" borderId="4" xfId="0" applyFont="1" applyFill="1" applyBorder="1" applyAlignment="1">
      <alignment horizontal="center" vertical="top"/>
    </xf>
    <xf numFmtId="3" fontId="19" fillId="0" borderId="6" xfId="0" applyNumberFormat="1" applyFont="1" applyFill="1" applyBorder="1" applyAlignment="1">
      <alignment horizontal="center" vertical="top"/>
    </xf>
    <xf numFmtId="3" fontId="30" fillId="0" borderId="9" xfId="0" applyNumberFormat="1" applyFont="1" applyFill="1" applyBorder="1" applyAlignment="1">
      <alignment horizontal="center" vertical="top"/>
    </xf>
    <xf numFmtId="3" fontId="19" fillId="0" borderId="9" xfId="0" applyNumberFormat="1" applyFont="1" applyFill="1" applyBorder="1" applyAlignment="1">
      <alignment horizontal="center" vertical="top"/>
    </xf>
    <xf numFmtId="3" fontId="30" fillId="0" borderId="5" xfId="0" applyNumberFormat="1" applyFont="1" applyFill="1" applyBorder="1" applyAlignment="1">
      <alignment horizontal="center" vertical="top"/>
    </xf>
    <xf numFmtId="3" fontId="30" fillId="0" borderId="10" xfId="0" applyNumberFormat="1" applyFont="1" applyFill="1" applyBorder="1" applyAlignment="1">
      <alignment horizontal="center" vertical="top"/>
    </xf>
    <xf numFmtId="3" fontId="19" fillId="0" borderId="5" xfId="0" applyNumberFormat="1" applyFont="1" applyFill="1" applyBorder="1" applyAlignment="1">
      <alignment horizontal="center" vertical="top"/>
    </xf>
    <xf numFmtId="2" fontId="30" fillId="0" borderId="10" xfId="0" applyNumberFormat="1" applyFont="1" applyFill="1" applyBorder="1" applyAlignment="1">
      <alignment horizontal="center" vertical="top"/>
    </xf>
    <xf numFmtId="2" fontId="19" fillId="0" borderId="3" xfId="0" applyNumberFormat="1" applyFont="1" applyFill="1" applyBorder="1" applyAlignment="1">
      <alignment horizontal="center" vertical="top"/>
    </xf>
    <xf numFmtId="2" fontId="19" fillId="0" borderId="5" xfId="0" applyNumberFormat="1" applyFont="1" applyFill="1" applyBorder="1" applyAlignment="1">
      <alignment horizontal="center" vertical="top"/>
    </xf>
    <xf numFmtId="2" fontId="19" fillId="0" borderId="7" xfId="0" applyNumberFormat="1" applyFont="1" applyFill="1" applyBorder="1" applyAlignment="1">
      <alignment horizontal="center" vertical="top"/>
    </xf>
    <xf numFmtId="3" fontId="30" fillId="0" borderId="3" xfId="0" applyNumberFormat="1" applyFont="1" applyFill="1" applyBorder="1" applyAlignment="1">
      <alignment horizontal="center" vertical="top"/>
    </xf>
    <xf numFmtId="4" fontId="41" fillId="0" borderId="9" xfId="0" applyNumberFormat="1" applyFont="1" applyFill="1" applyBorder="1" applyAlignment="1">
      <alignment horizontal="center" vertical="top"/>
    </xf>
    <xf numFmtId="4" fontId="41" fillId="0" borderId="5" xfId="0" applyNumberFormat="1" applyFont="1" applyFill="1" applyBorder="1" applyAlignment="1">
      <alignment horizontal="center" vertical="top"/>
    </xf>
    <xf numFmtId="4" fontId="41" fillId="0" borderId="7" xfId="0" applyNumberFormat="1" applyFont="1" applyFill="1" applyBorder="1" applyAlignment="1">
      <alignment horizontal="center" vertical="top"/>
    </xf>
    <xf numFmtId="3" fontId="41" fillId="0" borderId="6" xfId="0" applyNumberFormat="1" applyFont="1" applyFill="1" applyBorder="1" applyAlignment="1">
      <alignment horizontal="left" vertical="top" wrapText="1"/>
    </xf>
    <xf numFmtId="3" fontId="41" fillId="0" borderId="1" xfId="0" applyNumberFormat="1" applyFont="1" applyFill="1" applyBorder="1" applyAlignment="1">
      <alignment horizontal="left" vertical="top" wrapText="1"/>
    </xf>
    <xf numFmtId="3" fontId="41" fillId="0" borderId="1" xfId="0" applyNumberFormat="1" applyFont="1" applyFill="1" applyBorder="1" applyAlignment="1">
      <alignment horizontal="center" vertical="top"/>
    </xf>
    <xf numFmtId="3" fontId="41" fillId="0" borderId="6" xfId="0" applyNumberFormat="1" applyFont="1" applyFill="1" applyBorder="1" applyAlignment="1">
      <alignment horizontal="center" vertical="top"/>
    </xf>
    <xf numFmtId="3" fontId="41" fillId="0" borderId="1" xfId="0" applyNumberFormat="1" applyFont="1" applyFill="1" applyBorder="1" applyAlignment="1">
      <alignment vertical="top" wrapText="1"/>
    </xf>
    <xf numFmtId="3" fontId="34" fillId="0" borderId="6" xfId="0" applyNumberFormat="1" applyFont="1" applyFill="1" applyBorder="1" applyAlignment="1">
      <alignment vertical="top" wrapText="1"/>
    </xf>
    <xf numFmtId="3" fontId="19" fillId="0" borderId="1" xfId="0" applyNumberFormat="1" applyFont="1" applyFill="1" applyBorder="1" applyAlignment="1">
      <alignment horizontal="center" vertical="top"/>
    </xf>
    <xf numFmtId="174" fontId="41" fillId="0" borderId="1" xfId="0" applyNumberFormat="1" applyFont="1" applyFill="1" applyBorder="1" applyAlignment="1">
      <alignment horizontal="left" vertical="top" wrapText="1"/>
    </xf>
    <xf numFmtId="3" fontId="41" fillId="0" borderId="1" xfId="0" applyNumberFormat="1" applyFont="1" applyFill="1" applyBorder="1" applyAlignment="1">
      <alignment horizontal="left" vertical="top"/>
    </xf>
    <xf numFmtId="3" fontId="19" fillId="0" borderId="7" xfId="0" applyNumberFormat="1" applyFont="1" applyFill="1" applyBorder="1" applyAlignment="1">
      <alignment horizontal="center" vertical="top"/>
    </xf>
    <xf numFmtId="3" fontId="41" fillId="0" borderId="3" xfId="0" applyNumberFormat="1" applyFont="1" applyFill="1" applyBorder="1" applyAlignment="1">
      <alignment horizontal="left" vertical="top" wrapText="1"/>
    </xf>
    <xf numFmtId="2" fontId="41" fillId="0" borderId="3" xfId="0" applyNumberFormat="1" applyFont="1" applyFill="1" applyBorder="1" applyAlignment="1">
      <alignment horizontal="left" vertical="top" wrapText="1"/>
    </xf>
    <xf numFmtId="3" fontId="30" fillId="0" borderId="4" xfId="0" applyNumberFormat="1" applyFont="1" applyFill="1" applyBorder="1" applyAlignment="1">
      <alignment horizontal="center" vertical="top"/>
    </xf>
    <xf numFmtId="2" fontId="41" fillId="0" borderId="6" xfId="0" applyNumberFormat="1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center" vertical="top"/>
    </xf>
    <xf numFmtId="165" fontId="41" fillId="0" borderId="3" xfId="0" applyNumberFormat="1" applyFont="1" applyFill="1" applyBorder="1" applyAlignment="1">
      <alignment horizontal="left" vertical="top" wrapText="1"/>
    </xf>
    <xf numFmtId="165" fontId="41" fillId="0" borderId="5" xfId="0" applyNumberFormat="1" applyFont="1" applyFill="1" applyBorder="1" applyAlignment="1">
      <alignment horizontal="left" vertical="top" wrapText="1"/>
    </xf>
    <xf numFmtId="3" fontId="41" fillId="0" borderId="4" xfId="0" applyNumberFormat="1" applyFont="1" applyFill="1" applyBorder="1" applyAlignment="1">
      <alignment horizontal="left" vertical="top" wrapText="1"/>
    </xf>
    <xf numFmtId="3" fontId="41" fillId="0" borderId="5" xfId="0" applyNumberFormat="1" applyFont="1" applyFill="1" applyBorder="1" applyAlignment="1">
      <alignment horizontal="left" vertical="top" wrapText="1"/>
    </xf>
    <xf numFmtId="3" fontId="41" fillId="0" borderId="10" xfId="0" applyNumberFormat="1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vertical="top"/>
    </xf>
    <xf numFmtId="3" fontId="42" fillId="0" borderId="6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top"/>
    </xf>
    <xf numFmtId="2" fontId="18" fillId="7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3" fontId="41" fillId="0" borderId="9" xfId="0" applyNumberFormat="1" applyFont="1" applyFill="1" applyBorder="1" applyAlignment="1">
      <alignment horizontal="left" vertical="top" wrapText="1"/>
    </xf>
    <xf numFmtId="3" fontId="45" fillId="0" borderId="5" xfId="0" applyNumberFormat="1" applyFont="1" applyFill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3" fontId="38" fillId="0" borderId="26" xfId="0" applyNumberFormat="1" applyFont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3" fontId="9" fillId="6" borderId="26" xfId="0" applyNumberFormat="1" applyFont="1" applyFill="1" applyBorder="1" applyAlignment="1">
      <alignment horizontal="center" vertical="center"/>
    </xf>
    <xf numFmtId="3" fontId="9" fillId="0" borderId="26" xfId="0" applyNumberFormat="1" applyFont="1" applyBorder="1" applyAlignment="1">
      <alignment horizontal="center" vertical="center"/>
    </xf>
    <xf numFmtId="3" fontId="19" fillId="0" borderId="26" xfId="0" applyNumberFormat="1" applyFont="1" applyFill="1" applyBorder="1" applyAlignment="1">
      <alignment horizontal="center" vertical="top"/>
    </xf>
    <xf numFmtId="0" fontId="19" fillId="0" borderId="27" xfId="0" applyFont="1" applyBorder="1" applyAlignment="1">
      <alignment horizontal="left" vertical="top" wrapText="1"/>
    </xf>
    <xf numFmtId="3" fontId="38" fillId="0" borderId="5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top"/>
    </xf>
    <xf numFmtId="3" fontId="49" fillId="0" borderId="7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3" fontId="50" fillId="6" borderId="1" xfId="0" applyNumberFormat="1" applyFont="1" applyFill="1" applyBorder="1" applyAlignment="1">
      <alignment horizontal="center" vertical="center"/>
    </xf>
    <xf numFmtId="4" fontId="42" fillId="0" borderId="1" xfId="0" applyNumberFormat="1" applyFont="1" applyFill="1" applyBorder="1" applyAlignment="1">
      <alignment horizontal="center" vertical="center" wrapText="1"/>
    </xf>
    <xf numFmtId="3" fontId="51" fillId="0" borderId="9" xfId="0" applyNumberFormat="1" applyFont="1" applyFill="1" applyBorder="1" applyAlignment="1">
      <alignment horizontal="center" vertical="top"/>
    </xf>
    <xf numFmtId="0" fontId="52" fillId="0" borderId="0" xfId="0" applyFont="1" applyFill="1"/>
    <xf numFmtId="0" fontId="52" fillId="0" borderId="0" xfId="0" applyFont="1"/>
    <xf numFmtId="3" fontId="51" fillId="0" borderId="5" xfId="0" applyNumberFormat="1" applyFont="1" applyFill="1" applyBorder="1" applyAlignment="1">
      <alignment horizontal="center" vertical="top"/>
    </xf>
    <xf numFmtId="3" fontId="51" fillId="0" borderId="3" xfId="0" applyNumberFormat="1" applyFont="1" applyFill="1" applyBorder="1" applyAlignment="1">
      <alignment horizontal="center" vertical="top"/>
    </xf>
    <xf numFmtId="3" fontId="34" fillId="0" borderId="1" xfId="0" applyNumberFormat="1" applyFont="1" applyFill="1" applyBorder="1" applyAlignment="1">
      <alignment horizontal="left" vertical="top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3" fontId="13" fillId="0" borderId="28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top"/>
    </xf>
    <xf numFmtId="0" fontId="29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53" fillId="0" borderId="0" xfId="0" applyFont="1"/>
    <xf numFmtId="0" fontId="9" fillId="0" borderId="15" xfId="0" applyFont="1" applyBorder="1" applyAlignment="1">
      <alignment vertical="top" wrapText="1"/>
    </xf>
    <xf numFmtId="0" fontId="16" fillId="0" borderId="22" xfId="0" applyFont="1" applyBorder="1" applyAlignment="1">
      <alignment vertical="top"/>
    </xf>
    <xf numFmtId="3" fontId="9" fillId="0" borderId="0" xfId="0" quotePrefix="1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3" applyNumberFormat="1" applyFont="1" applyBorder="1" applyAlignment="1">
      <alignment horizontal="center" vertical="top"/>
    </xf>
    <xf numFmtId="2" fontId="6" fillId="0" borderId="6" xfId="3" applyNumberFormat="1" applyFont="1" applyBorder="1" applyAlignment="1">
      <alignment horizontal="center" vertical="top"/>
    </xf>
    <xf numFmtId="1" fontId="6" fillId="0" borderId="4" xfId="3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 wrapText="1"/>
    </xf>
    <xf numFmtId="2" fontId="6" fillId="0" borderId="12" xfId="3" applyNumberFormat="1" applyFont="1" applyBorder="1" applyAlignment="1">
      <alignment horizontal="center" vertical="center"/>
    </xf>
    <xf numFmtId="2" fontId="6" fillId="0" borderId="6" xfId="3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vertical="top" wrapText="1"/>
    </xf>
    <xf numFmtId="3" fontId="14" fillId="0" borderId="4" xfId="0" applyNumberFormat="1" applyFont="1" applyBorder="1" applyAlignment="1">
      <alignment horizontal="center" wrapText="1"/>
    </xf>
    <xf numFmtId="3" fontId="14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vertical="center"/>
    </xf>
    <xf numFmtId="3" fontId="19" fillId="0" borderId="3" xfId="0" applyNumberFormat="1" applyFont="1" applyBorder="1" applyAlignment="1">
      <alignment horizontal="center" vertical="top" wrapText="1"/>
    </xf>
    <xf numFmtId="3" fontId="32" fillId="0" borderId="3" xfId="0" applyNumberFormat="1" applyFont="1" applyBorder="1" applyAlignment="1">
      <alignment horizontal="center" wrapText="1"/>
    </xf>
    <xf numFmtId="3" fontId="32" fillId="0" borderId="4" xfId="0" applyNumberFormat="1" applyFont="1" applyBorder="1" applyAlignment="1">
      <alignment horizontal="center" wrapText="1"/>
    </xf>
    <xf numFmtId="0" fontId="16" fillId="0" borderId="0" xfId="0" applyFont="1" applyAlignment="1"/>
    <xf numFmtId="0" fontId="16" fillId="0" borderId="6" xfId="0" applyFont="1" applyBorder="1" applyAlignment="1">
      <alignment vertical="top"/>
    </xf>
    <xf numFmtId="0" fontId="53" fillId="0" borderId="0" xfId="0" applyFont="1" applyAlignment="1">
      <alignment vertical="top"/>
    </xf>
    <xf numFmtId="3" fontId="6" fillId="0" borderId="29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wrapText="1"/>
    </xf>
    <xf numFmtId="0" fontId="16" fillId="0" borderId="22" xfId="0" applyFont="1" applyBorder="1" applyAlignment="1"/>
    <xf numFmtId="3" fontId="32" fillId="0" borderId="31" xfId="0" applyNumberFormat="1" applyFont="1" applyBorder="1" applyAlignment="1">
      <alignment horizontal="center" wrapText="1"/>
    </xf>
    <xf numFmtId="3" fontId="19" fillId="0" borderId="31" xfId="0" applyNumberFormat="1" applyFont="1" applyBorder="1" applyAlignment="1">
      <alignment horizontal="center" vertical="top" wrapText="1"/>
    </xf>
    <xf numFmtId="2" fontId="13" fillId="0" borderId="32" xfId="3" applyNumberFormat="1" applyFont="1" applyBorder="1" applyAlignment="1">
      <alignment horizontal="center" vertical="center"/>
    </xf>
    <xf numFmtId="9" fontId="13" fillId="0" borderId="32" xfId="0" applyNumberFormat="1" applyFont="1" applyBorder="1" applyAlignment="1">
      <alignment horizontal="center" vertical="center"/>
    </xf>
    <xf numFmtId="3" fontId="32" fillId="0" borderId="33" xfId="0" applyNumberFormat="1" applyFont="1" applyBorder="1" applyAlignment="1">
      <alignment horizontal="center" wrapText="1"/>
    </xf>
    <xf numFmtId="2" fontId="13" fillId="0" borderId="34" xfId="3" applyNumberFormat="1" applyFont="1" applyBorder="1" applyAlignment="1">
      <alignment horizontal="center" vertical="center"/>
    </xf>
    <xf numFmtId="3" fontId="32" fillId="0" borderId="31" xfId="0" applyNumberFormat="1" applyFont="1" applyBorder="1" applyAlignment="1">
      <alignment horizontal="center" vertical="center" wrapText="1"/>
    </xf>
    <xf numFmtId="3" fontId="19" fillId="0" borderId="31" xfId="0" applyNumberFormat="1" applyFont="1" applyBorder="1" applyAlignment="1">
      <alignment horizontal="center" vertical="center" wrapText="1"/>
    </xf>
    <xf numFmtId="2" fontId="13" fillId="0" borderId="32" xfId="3" applyNumberFormat="1" applyFont="1" applyBorder="1" applyAlignment="1">
      <alignment horizontal="center" vertical="top"/>
    </xf>
    <xf numFmtId="2" fontId="13" fillId="0" borderId="34" xfId="3" applyNumberFormat="1" applyFont="1" applyBorder="1" applyAlignment="1">
      <alignment horizontal="center" vertical="top"/>
    </xf>
    <xf numFmtId="0" fontId="9" fillId="0" borderId="8" xfId="0" applyFont="1" applyBorder="1" applyAlignment="1">
      <alignment vertical="top" wrapText="1"/>
    </xf>
    <xf numFmtId="3" fontId="6" fillId="0" borderId="1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/>
    </xf>
    <xf numFmtId="0" fontId="9" fillId="0" borderId="35" xfId="0" applyFont="1" applyFill="1" applyBorder="1" applyAlignment="1">
      <alignment horizontal="left" vertical="top" wrapText="1"/>
    </xf>
    <xf numFmtId="3" fontId="6" fillId="0" borderId="28" xfId="0" applyNumberFormat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4" fontId="28" fillId="0" borderId="9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42" fillId="0" borderId="9" xfId="0" applyNumberFormat="1" applyFont="1" applyBorder="1" applyAlignment="1">
      <alignment horizontal="center" vertical="center"/>
    </xf>
    <xf numFmtId="3" fontId="27" fillId="6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2" fontId="38" fillId="0" borderId="1" xfId="0" applyNumberFormat="1" applyFont="1" applyFill="1" applyBorder="1" applyAlignment="1">
      <alignment horizontal="center" vertical="center"/>
    </xf>
    <xf numFmtId="3" fontId="38" fillId="0" borderId="4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left" vertical="top"/>
    </xf>
    <xf numFmtId="3" fontId="45" fillId="0" borderId="4" xfId="0" applyNumberFormat="1" applyFont="1" applyFill="1" applyBorder="1" applyAlignment="1">
      <alignment vertical="top" wrapText="1"/>
    </xf>
    <xf numFmtId="3" fontId="45" fillId="0" borderId="5" xfId="0" applyNumberFormat="1" applyFont="1" applyFill="1" applyBorder="1" applyAlignment="1">
      <alignment vertical="top" wrapText="1"/>
    </xf>
    <xf numFmtId="3" fontId="19" fillId="0" borderId="5" xfId="0" applyNumberFormat="1" applyFont="1" applyFill="1" applyBorder="1" applyAlignment="1">
      <alignment vertical="top"/>
    </xf>
    <xf numFmtId="3" fontId="38" fillId="0" borderId="36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9" fillId="6" borderId="36" xfId="0" applyNumberFormat="1" applyFont="1" applyFill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top"/>
    </xf>
    <xf numFmtId="0" fontId="19" fillId="0" borderId="36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/>
    </xf>
    <xf numFmtId="0" fontId="19" fillId="0" borderId="27" xfId="0" applyFont="1" applyFill="1" applyBorder="1" applyAlignment="1">
      <alignment horizontal="left" vertical="top" wrapText="1"/>
    </xf>
    <xf numFmtId="3" fontId="9" fillId="0" borderId="26" xfId="0" applyNumberFormat="1" applyFont="1" applyFill="1" applyBorder="1" applyAlignment="1">
      <alignment horizontal="center" vertical="center"/>
    </xf>
    <xf numFmtId="2" fontId="9" fillId="6" borderId="36" xfId="0" applyNumberFormat="1" applyFont="1" applyFill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41" fillId="7" borderId="36" xfId="0" applyNumberFormat="1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3" fontId="41" fillId="0" borderId="36" xfId="0" applyNumberFormat="1" applyFont="1" applyFill="1" applyBorder="1" applyAlignment="1">
      <alignment horizontal="left" vertical="top" wrapText="1"/>
    </xf>
    <xf numFmtId="3" fontId="38" fillId="0" borderId="26" xfId="0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left" vertical="top"/>
    </xf>
    <xf numFmtId="4" fontId="29" fillId="0" borderId="37" xfId="0" applyNumberFormat="1" applyFont="1" applyFill="1" applyBorder="1" applyAlignment="1">
      <alignment horizontal="center" vertical="center"/>
    </xf>
    <xf numFmtId="4" fontId="16" fillId="6" borderId="36" xfId="0" applyNumberFormat="1" applyFont="1" applyFill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top" wrapText="1"/>
    </xf>
    <xf numFmtId="1" fontId="38" fillId="0" borderId="37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9" fillId="6" borderId="37" xfId="0" applyNumberFormat="1" applyFont="1" applyFill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9" fillId="6" borderId="37" xfId="0" applyNumberFormat="1" applyFont="1" applyFill="1" applyBorder="1" applyAlignment="1">
      <alignment horizontal="center" vertical="center"/>
    </xf>
    <xf numFmtId="1" fontId="9" fillId="0" borderId="37" xfId="0" applyNumberFormat="1" applyFont="1" applyFill="1" applyBorder="1" applyAlignment="1">
      <alignment horizontal="center" vertical="center"/>
    </xf>
    <xf numFmtId="1" fontId="41" fillId="0" borderId="37" xfId="0" applyNumberFormat="1" applyFont="1" applyFill="1" applyBorder="1" applyAlignment="1">
      <alignment horizontal="left" vertical="top" wrapText="1"/>
    </xf>
    <xf numFmtId="171" fontId="9" fillId="0" borderId="3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38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4" fontId="39" fillId="0" borderId="6" xfId="0" applyNumberFormat="1" applyFont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2" fontId="9" fillId="0" borderId="0" xfId="0" applyNumberFormat="1" applyFont="1"/>
    <xf numFmtId="2" fontId="38" fillId="0" borderId="1" xfId="0" applyNumberFormat="1" applyFont="1" applyBorder="1" applyAlignment="1">
      <alignment horizontal="center" vertical="center"/>
    </xf>
    <xf numFmtId="4" fontId="39" fillId="0" borderId="9" xfId="0" applyNumberFormat="1" applyFont="1" applyBorder="1" applyAlignment="1">
      <alignment horizontal="center" vertical="center"/>
    </xf>
    <xf numFmtId="4" fontId="29" fillId="0" borderId="9" xfId="0" applyNumberFormat="1" applyFont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165" fontId="36" fillId="0" borderId="3" xfId="0" applyNumberFormat="1" applyFont="1" applyBorder="1" applyAlignment="1">
      <alignment horizontal="center" vertical="center"/>
    </xf>
    <xf numFmtId="4" fontId="29" fillId="0" borderId="3" xfId="0" applyNumberFormat="1" applyFont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4" fontId="39" fillId="0" borderId="7" xfId="0" applyNumberFormat="1" applyFont="1" applyBorder="1" applyAlignment="1">
      <alignment horizontal="center" vertical="center"/>
    </xf>
    <xf numFmtId="4" fontId="29" fillId="0" borderId="7" xfId="0" applyNumberFormat="1" applyFont="1" applyBorder="1" applyAlignment="1">
      <alignment horizontal="center" vertical="center"/>
    </xf>
    <xf numFmtId="4" fontId="16" fillId="6" borderId="7" xfId="0" applyNumberFormat="1" applyFont="1" applyFill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2" fontId="38" fillId="0" borderId="6" xfId="0" applyNumberFormat="1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left" vertical="top"/>
      <protection locked="0"/>
    </xf>
    <xf numFmtId="0" fontId="54" fillId="0" borderId="0" xfId="0" applyFont="1" applyFill="1" applyAlignment="1">
      <alignment horizontal="center" vertical="top"/>
    </xf>
    <xf numFmtId="0" fontId="55" fillId="0" borderId="0" xfId="0" applyFont="1" applyFill="1"/>
    <xf numFmtId="0" fontId="55" fillId="0" borderId="0" xfId="0" applyFont="1"/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56" fillId="0" borderId="0" xfId="0" applyFont="1"/>
    <xf numFmtId="0" fontId="9" fillId="0" borderId="3" xfId="0" applyFont="1" applyFill="1" applyBorder="1" applyAlignment="1">
      <alignment horizontal="center" vertical="top" wrapText="1"/>
    </xf>
    <xf numFmtId="4" fontId="39" fillId="0" borderId="9" xfId="0" applyNumberFormat="1" applyFont="1" applyFill="1" applyBorder="1" applyAlignment="1">
      <alignment horizontal="center" vertical="center"/>
    </xf>
    <xf numFmtId="4" fontId="39" fillId="0" borderId="3" xfId="0" applyNumberFormat="1" applyFont="1" applyFill="1" applyBorder="1" applyAlignment="1">
      <alignment horizontal="center" vertical="center"/>
    </xf>
    <xf numFmtId="4" fontId="39" fillId="0" borderId="7" xfId="0" applyNumberFormat="1" applyFont="1" applyFill="1" applyBorder="1" applyAlignment="1">
      <alignment horizontal="center" vertical="center"/>
    </xf>
    <xf numFmtId="3" fontId="38" fillId="0" borderId="3" xfId="0" applyNumberFormat="1" applyFont="1" applyFill="1" applyBorder="1" applyAlignment="1">
      <alignment horizontal="center" vertical="center"/>
    </xf>
    <xf numFmtId="2" fontId="6" fillId="0" borderId="36" xfId="0" applyNumberFormat="1" applyFont="1" applyFill="1" applyBorder="1" applyAlignment="1">
      <alignment horizontal="center" vertical="center"/>
    </xf>
    <xf numFmtId="3" fontId="49" fillId="0" borderId="6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top" wrapText="1"/>
    </xf>
    <xf numFmtId="0" fontId="37" fillId="0" borderId="3" xfId="0" applyFont="1" applyBorder="1" applyAlignment="1">
      <alignment horizontal="center" vertical="center"/>
    </xf>
    <xf numFmtId="4" fontId="57" fillId="0" borderId="6" xfId="0" applyNumberFormat="1" applyFont="1" applyBorder="1" applyAlignment="1">
      <alignment horizontal="center" vertical="center"/>
    </xf>
    <xf numFmtId="4" fontId="57" fillId="0" borderId="4" xfId="0" applyNumberFormat="1" applyFont="1" applyBorder="1" applyAlignment="1">
      <alignment horizontal="center" vertical="center"/>
    </xf>
    <xf numFmtId="4" fontId="57" fillId="0" borderId="1" xfId="0" applyNumberFormat="1" applyFont="1" applyBorder="1" applyAlignment="1">
      <alignment horizontal="center" vertical="center"/>
    </xf>
    <xf numFmtId="4" fontId="57" fillId="0" borderId="3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 wrapText="1"/>
    </xf>
    <xf numFmtId="172" fontId="9" fillId="0" borderId="3" xfId="0" applyNumberFormat="1" applyFont="1" applyBorder="1" applyAlignment="1">
      <alignment horizontal="center" vertical="top" wrapText="1"/>
    </xf>
    <xf numFmtId="3" fontId="38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top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47" fillId="0" borderId="0" xfId="0" applyFont="1" applyBorder="1" applyAlignment="1">
      <alignment horizontal="left" vertical="top"/>
    </xf>
    <xf numFmtId="0" fontId="47" fillId="0" borderId="17" xfId="0" applyFont="1" applyBorder="1" applyAlignment="1">
      <alignment horizontal="left" vertical="top"/>
    </xf>
    <xf numFmtId="0" fontId="47" fillId="0" borderId="2" xfId="0" applyFont="1" applyBorder="1" applyAlignment="1">
      <alignment horizontal="left" vertical="top"/>
    </xf>
    <xf numFmtId="0" fontId="47" fillId="0" borderId="38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 wrapText="1"/>
    </xf>
    <xf numFmtId="0" fontId="44" fillId="0" borderId="1" xfId="0" applyFont="1" applyBorder="1" applyAlignment="1">
      <alignment horizontal="center" vertical="top"/>
    </xf>
    <xf numFmtId="2" fontId="44" fillId="0" borderId="1" xfId="0" applyNumberFormat="1" applyFont="1" applyBorder="1" applyAlignment="1">
      <alignment horizontal="right" vertical="top"/>
    </xf>
    <xf numFmtId="169" fontId="44" fillId="0" borderId="1" xfId="0" applyNumberFormat="1" applyFont="1" applyBorder="1" applyAlignment="1">
      <alignment horizontal="center" vertical="top" wrapText="1"/>
    </xf>
    <xf numFmtId="3" fontId="47" fillId="0" borderId="1" xfId="0" applyNumberFormat="1" applyFont="1" applyBorder="1" applyAlignment="1">
      <alignment horizontal="center" vertical="top" wrapText="1"/>
    </xf>
    <xf numFmtId="169" fontId="44" fillId="0" borderId="1" xfId="0" applyNumberFormat="1" applyFont="1" applyFill="1" applyBorder="1" applyAlignment="1">
      <alignment horizontal="center" vertical="top" wrapText="1"/>
    </xf>
    <xf numFmtId="169" fontId="44" fillId="0" borderId="4" xfId="0" applyNumberFormat="1" applyFont="1" applyFill="1" applyBorder="1" applyAlignment="1">
      <alignment horizontal="center" vertical="top" wrapText="1"/>
    </xf>
    <xf numFmtId="0" fontId="21" fillId="0" borderId="4" xfId="0" applyFont="1" applyBorder="1" applyAlignment="1">
      <alignment horizontal="center" vertical="top"/>
    </xf>
    <xf numFmtId="0" fontId="47" fillId="0" borderId="8" xfId="0" applyFont="1" applyBorder="1" applyAlignment="1">
      <alignment horizontal="left" vertical="top"/>
    </xf>
    <xf numFmtId="0" fontId="47" fillId="0" borderId="8" xfId="0" applyFont="1" applyBorder="1" applyAlignment="1">
      <alignment horizontal="left" vertical="top" wrapText="1"/>
    </xf>
    <xf numFmtId="0" fontId="47" fillId="0" borderId="8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right" vertical="top"/>
    </xf>
    <xf numFmtId="0" fontId="44" fillId="0" borderId="39" xfId="0" applyFont="1" applyBorder="1" applyAlignment="1">
      <alignment horizontal="right" vertical="top"/>
    </xf>
    <xf numFmtId="2" fontId="21" fillId="0" borderId="40" xfId="0" applyNumberFormat="1" applyFont="1" applyFill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/>
    </xf>
    <xf numFmtId="0" fontId="47" fillId="0" borderId="0" xfId="0" applyFont="1" applyBorder="1" applyAlignment="1">
      <alignment horizontal="left" vertical="top" wrapText="1"/>
    </xf>
    <xf numFmtId="0" fontId="47" fillId="0" borderId="0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right" vertical="top"/>
    </xf>
    <xf numFmtId="0" fontId="21" fillId="0" borderId="40" xfId="0" applyFont="1" applyFill="1" applyBorder="1" applyAlignment="1">
      <alignment horizontal="center" vertical="center"/>
    </xf>
    <xf numFmtId="2" fontId="21" fillId="0" borderId="40" xfId="0" applyNumberFormat="1" applyFont="1" applyFill="1" applyBorder="1" applyAlignment="1">
      <alignment horizontal="center" vertical="top"/>
    </xf>
    <xf numFmtId="0" fontId="21" fillId="0" borderId="41" xfId="0" applyFont="1" applyBorder="1" applyAlignment="1">
      <alignment horizontal="left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/>
    </xf>
    <xf numFmtId="0" fontId="47" fillId="0" borderId="41" xfId="0" applyFont="1" applyBorder="1" applyAlignment="1">
      <alignment horizontal="right" vertical="top"/>
    </xf>
    <xf numFmtId="0" fontId="47" fillId="0" borderId="34" xfId="0" applyFont="1" applyBorder="1" applyAlignment="1">
      <alignment horizontal="center" vertical="top"/>
    </xf>
    <xf numFmtId="2" fontId="44" fillId="0" borderId="1" xfId="0" applyNumberFormat="1" applyFont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top"/>
    </xf>
    <xf numFmtId="0" fontId="47" fillId="0" borderId="4" xfId="0" applyFont="1" applyBorder="1" applyAlignment="1">
      <alignment horizontal="center" vertical="top"/>
    </xf>
    <xf numFmtId="0" fontId="21" fillId="0" borderId="42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21" fillId="7" borderId="40" xfId="0" applyFont="1" applyFill="1" applyBorder="1" applyAlignment="1">
      <alignment horizontal="center" vertical="top"/>
    </xf>
    <xf numFmtId="0" fontId="21" fillId="7" borderId="40" xfId="0" applyFont="1" applyFill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left" vertical="top" wrapText="1" indent="1"/>
    </xf>
    <xf numFmtId="0" fontId="47" fillId="0" borderId="38" xfId="0" applyFont="1" applyBorder="1" applyAlignment="1">
      <alignment horizontal="center" vertical="top"/>
    </xf>
    <xf numFmtId="2" fontId="38" fillId="0" borderId="4" xfId="0" applyNumberFormat="1" applyFont="1" applyFill="1" applyBorder="1" applyAlignment="1">
      <alignment horizontal="center" vertical="center"/>
    </xf>
    <xf numFmtId="2" fontId="38" fillId="0" borderId="5" xfId="0" applyNumberFormat="1" applyFont="1" applyFill="1" applyBorder="1" applyAlignment="1">
      <alignment horizontal="center" vertical="center"/>
    </xf>
    <xf numFmtId="2" fontId="38" fillId="0" borderId="7" xfId="0" applyNumberFormat="1" applyFont="1" applyFill="1" applyBorder="1" applyAlignment="1">
      <alignment horizontal="center" vertical="center"/>
    </xf>
    <xf numFmtId="2" fontId="62" fillId="0" borderId="6" xfId="0" applyNumberFormat="1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top"/>
    </xf>
    <xf numFmtId="0" fontId="63" fillId="0" borderId="0" xfId="0" applyFont="1" applyAlignment="1">
      <alignment horizontal="center" vertical="top"/>
    </xf>
    <xf numFmtId="0" fontId="47" fillId="0" borderId="0" xfId="0" applyFont="1"/>
    <xf numFmtId="0" fontId="63" fillId="0" borderId="2" xfId="0" applyFont="1" applyBorder="1" applyAlignment="1">
      <alignment horizontal="center" vertical="top"/>
    </xf>
    <xf numFmtId="0" fontId="64" fillId="0" borderId="0" xfId="0" applyFont="1" applyBorder="1" applyAlignment="1">
      <alignment horizontal="center" vertical="top" wrapText="1"/>
    </xf>
    <xf numFmtId="0" fontId="47" fillId="0" borderId="0" xfId="0" applyFont="1" applyFill="1"/>
    <xf numFmtId="0" fontId="65" fillId="4" borderId="0" xfId="0" applyFont="1" applyFill="1" applyAlignment="1" applyProtection="1">
      <alignment horizontal="center" vertical="top"/>
      <protection locked="0"/>
    </xf>
    <xf numFmtId="0" fontId="9" fillId="0" borderId="3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/>
    </xf>
    <xf numFmtId="0" fontId="63" fillId="0" borderId="41" xfId="0" applyFont="1" applyBorder="1" applyAlignment="1">
      <alignment horizontal="center" vertical="top"/>
    </xf>
    <xf numFmtId="0" fontId="3" fillId="0" borderId="3" xfId="2" quotePrefix="1" applyFont="1" applyBorder="1" applyAlignment="1" applyProtection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168" fontId="9" fillId="0" borderId="3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2" fontId="9" fillId="0" borderId="3" xfId="0" applyNumberFormat="1" applyFont="1" applyBorder="1" applyAlignment="1">
      <alignment horizontal="center" vertical="top" wrapText="1"/>
    </xf>
    <xf numFmtId="173" fontId="9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4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7" fillId="0" borderId="0" xfId="0" applyFont="1" applyAlignment="1">
      <alignment horizontal="justify" vertical="top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46" fillId="0" borderId="0" xfId="0" applyFont="1" applyAlignment="1">
      <alignment horizontal="justify" vertical="top"/>
    </xf>
    <xf numFmtId="0" fontId="21" fillId="0" borderId="0" xfId="0" applyFont="1" applyAlignment="1">
      <alignment horizontal="justify" vertical="top"/>
    </xf>
    <xf numFmtId="0" fontId="21" fillId="0" borderId="0" xfId="0" applyFont="1" applyAlignment="1">
      <alignment vertical="top"/>
    </xf>
    <xf numFmtId="3" fontId="6" fillId="0" borderId="12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4" borderId="0" xfId="0" applyFont="1" applyFill="1" applyBorder="1" applyAlignment="1" applyProtection="1">
      <alignment horizontal="center" vertical="top"/>
      <protection locked="0"/>
    </xf>
    <xf numFmtId="0" fontId="66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7" fillId="0" borderId="0" xfId="0" applyFont="1"/>
    <xf numFmtId="0" fontId="6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0" fillId="0" borderId="1" xfId="0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top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8" borderId="0" xfId="0" applyFont="1" applyFill="1" applyAlignment="1" applyProtection="1">
      <alignment horizontal="center" vertical="top"/>
      <protection locked="0"/>
    </xf>
    <xf numFmtId="0" fontId="71" fillId="0" borderId="25" xfId="0" applyFont="1" applyBorder="1" applyAlignment="1">
      <alignment horizontal="center" vertical="top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/>
    </xf>
    <xf numFmtId="0" fontId="71" fillId="0" borderId="17" xfId="0" applyFont="1" applyBorder="1" applyAlignment="1">
      <alignment horizontal="center" vertical="top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3" fillId="0" borderId="6" xfId="0" quotePrefix="1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wrapText="1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9" fillId="0" borderId="38" xfId="0" applyFont="1" applyBorder="1" applyAlignment="1">
      <alignment horizontal="left" vertical="top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4" fontId="9" fillId="9" borderId="9" xfId="0" applyNumberFormat="1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horizontal="center" vertical="center"/>
    </xf>
    <xf numFmtId="4" fontId="9" fillId="9" borderId="6" xfId="0" applyNumberFormat="1" applyFont="1" applyFill="1" applyBorder="1" applyAlignment="1">
      <alignment horizontal="center" vertical="center"/>
    </xf>
    <xf numFmtId="4" fontId="9" fillId="9" borderId="7" xfId="0" applyNumberFormat="1" applyFont="1" applyFill="1" applyBorder="1" applyAlignment="1">
      <alignment horizontal="center" vertical="center"/>
    </xf>
    <xf numFmtId="4" fontId="9" fillId="9" borderId="19" xfId="0" applyNumberFormat="1" applyFont="1" applyFill="1" applyBorder="1" applyAlignment="1">
      <alignment horizontal="center" vertical="center"/>
    </xf>
    <xf numFmtId="3" fontId="9" fillId="9" borderId="1" xfId="0" applyNumberFormat="1" applyFont="1" applyFill="1" applyBorder="1" applyAlignment="1">
      <alignment horizontal="center" vertical="center"/>
    </xf>
    <xf numFmtId="0" fontId="75" fillId="0" borderId="2" xfId="0" applyFont="1" applyFill="1" applyBorder="1" applyAlignment="1">
      <alignment horizontal="left" vertical="top" wrapText="1"/>
    </xf>
    <xf numFmtId="0" fontId="71" fillId="0" borderId="2" xfId="0" applyFont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1" fillId="0" borderId="22" xfId="0" applyFont="1" applyBorder="1" applyAlignment="1">
      <alignment horizontal="center" vertical="top"/>
    </xf>
    <xf numFmtId="0" fontId="77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77" fillId="0" borderId="0" xfId="0" applyFont="1" applyFill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4" fontId="3" fillId="0" borderId="41" xfId="0" applyNumberFormat="1" applyFont="1" applyFill="1" applyBorder="1" applyAlignment="1">
      <alignment horizontal="center" vertical="top" wrapText="1"/>
    </xf>
    <xf numFmtId="0" fontId="78" fillId="0" borderId="25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>
      <alignment horizontal="left" vertical="top"/>
    </xf>
    <xf numFmtId="0" fontId="3" fillId="0" borderId="3" xfId="0" applyFont="1" applyBorder="1"/>
    <xf numFmtId="0" fontId="71" fillId="0" borderId="22" xfId="0" applyFont="1" applyBorder="1" applyAlignment="1">
      <alignment vertical="top"/>
    </xf>
    <xf numFmtId="0" fontId="3" fillId="0" borderId="22" xfId="0" applyFont="1" applyBorder="1"/>
    <xf numFmtId="0" fontId="3" fillId="0" borderId="17" xfId="0" applyFont="1" applyBorder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0" fontId="70" fillId="0" borderId="1" xfId="0" applyNumberFormat="1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3" fontId="77" fillId="0" borderId="0" xfId="0" applyNumberFormat="1" applyFont="1" applyFill="1" applyBorder="1" applyAlignment="1">
      <alignment horizontal="center" vertical="top" wrapText="1"/>
    </xf>
    <xf numFmtId="2" fontId="3" fillId="0" borderId="41" xfId="0" quotePrefix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top" wrapText="1"/>
    </xf>
    <xf numFmtId="4" fontId="3" fillId="0" borderId="34" xfId="0" applyNumberFormat="1" applyFont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1" fillId="0" borderId="43" xfId="0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6" xfId="0" quotePrefix="1" applyFont="1" applyBorder="1" applyAlignment="1" applyProtection="1">
      <alignment vertical="top" wrapText="1"/>
      <protection locked="0"/>
    </xf>
    <xf numFmtId="0" fontId="3" fillId="0" borderId="3" xfId="0" quotePrefix="1" applyFont="1" applyBorder="1" applyAlignment="1" applyProtection="1">
      <alignment vertical="top" wrapText="1"/>
      <protection locked="0"/>
    </xf>
    <xf numFmtId="0" fontId="81" fillId="0" borderId="2" xfId="0" applyFont="1" applyBorder="1" applyAlignment="1">
      <alignment horizontal="center" vertical="top"/>
    </xf>
    <xf numFmtId="4" fontId="3" fillId="0" borderId="41" xfId="0" quotePrefix="1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34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73" fontId="3" fillId="0" borderId="1" xfId="0" applyNumberFormat="1" applyFont="1" applyFill="1" applyBorder="1" applyAlignment="1">
      <alignment horizontal="center" vertical="center"/>
    </xf>
    <xf numFmtId="166" fontId="3" fillId="0" borderId="41" xfId="0" quotePrefix="1" applyNumberFormat="1" applyFont="1" applyFill="1" applyBorder="1" applyAlignment="1">
      <alignment horizontal="center" vertical="top" wrapText="1"/>
    </xf>
    <xf numFmtId="0" fontId="3" fillId="0" borderId="3" xfId="0" quotePrefix="1" applyFont="1" applyBorder="1" applyAlignment="1" applyProtection="1">
      <alignment horizontal="left" vertical="top" wrapText="1"/>
    </xf>
    <xf numFmtId="0" fontId="3" fillId="0" borderId="6" xfId="0" quotePrefix="1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</xf>
    <xf numFmtId="0" fontId="82" fillId="0" borderId="22" xfId="0" applyFont="1" applyBorder="1" applyAlignment="1">
      <alignment vertical="top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top" wrapText="1"/>
    </xf>
    <xf numFmtId="175" fontId="84" fillId="0" borderId="0" xfId="1" applyNumberFormat="1" applyFont="1" applyFill="1" applyBorder="1" applyAlignment="1">
      <alignment horizontal="left" vertical="top" wrapText="1"/>
    </xf>
    <xf numFmtId="2" fontId="3" fillId="0" borderId="0" xfId="0" applyNumberFormat="1" applyFont="1" applyFill="1" applyBorder="1" applyAlignment="1">
      <alignment horizontal="left" vertical="top" wrapText="1"/>
    </xf>
    <xf numFmtId="0" fontId="71" fillId="0" borderId="0" xfId="0" applyFont="1" applyBorder="1" applyAlignment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68" fontId="3" fillId="0" borderId="34" xfId="0" applyNumberFormat="1" applyFont="1" applyFill="1" applyBorder="1" applyAlignment="1">
      <alignment horizontal="center" vertical="center"/>
    </xf>
    <xf numFmtId="2" fontId="3" fillId="0" borderId="34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 applyProtection="1">
      <alignment vertical="top" wrapText="1"/>
      <protection locked="0"/>
    </xf>
    <xf numFmtId="0" fontId="10" fillId="0" borderId="3" xfId="0" applyFont="1" applyBorder="1" applyAlignment="1">
      <alignment vertical="top" wrapText="1"/>
    </xf>
    <xf numFmtId="0" fontId="3" fillId="0" borderId="3" xfId="0" quotePrefix="1" applyNumberFormat="1" applyFont="1" applyBorder="1" applyAlignment="1" applyProtection="1">
      <alignment horizontal="left" vertical="top" wrapText="1"/>
      <protection locked="0"/>
    </xf>
    <xf numFmtId="0" fontId="71" fillId="0" borderId="25" xfId="0" applyFont="1" applyBorder="1" applyAlignment="1">
      <alignment vertical="top"/>
    </xf>
    <xf numFmtId="0" fontId="72" fillId="0" borderId="0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0" fontId="3" fillId="0" borderId="0" xfId="0" applyFont="1" applyFill="1"/>
    <xf numFmtId="0" fontId="85" fillId="0" borderId="1" xfId="0" applyFont="1" applyBorder="1" applyAlignment="1">
      <alignment horizontal="left" vertical="center" wrapText="1"/>
    </xf>
    <xf numFmtId="0" fontId="85" fillId="0" borderId="47" xfId="0" applyFont="1" applyBorder="1" applyAlignment="1">
      <alignment horizontal="center" vertical="center" wrapText="1"/>
    </xf>
    <xf numFmtId="0" fontId="85" fillId="0" borderId="1" xfId="0" applyFont="1" applyFill="1" applyBorder="1" applyAlignment="1">
      <alignment horizontal="left" vertical="center" wrapText="1"/>
    </xf>
    <xf numFmtId="0" fontId="85" fillId="0" borderId="47" xfId="0" applyFont="1" applyFill="1" applyBorder="1" applyAlignment="1">
      <alignment horizontal="center" vertical="center" wrapText="1"/>
    </xf>
    <xf numFmtId="0" fontId="85" fillId="10" borderId="47" xfId="0" applyFont="1" applyFill="1" applyBorder="1" applyAlignment="1">
      <alignment horizontal="center" vertical="center" wrapText="1"/>
    </xf>
    <xf numFmtId="0" fontId="85" fillId="10" borderId="1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7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88" fillId="0" borderId="0" xfId="0" applyFont="1" applyAlignment="1">
      <alignment horizontal="center"/>
    </xf>
    <xf numFmtId="0" fontId="90" fillId="0" borderId="1" xfId="0" applyFont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90" fillId="10" borderId="1" xfId="0" applyFont="1" applyFill="1" applyBorder="1" applyAlignment="1">
      <alignment horizontal="center" vertical="center" wrapText="1"/>
    </xf>
    <xf numFmtId="2" fontId="91" fillId="7" borderId="1" xfId="0" applyNumberFormat="1" applyFont="1" applyFill="1" applyBorder="1" applyAlignment="1">
      <alignment horizontal="center" vertical="center"/>
    </xf>
    <xf numFmtId="0" fontId="90" fillId="0" borderId="0" xfId="0" applyFont="1" applyAlignment="1">
      <alignment horizontal="center"/>
    </xf>
    <xf numFmtId="2" fontId="47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47" fillId="0" borderId="1" xfId="0" applyFont="1" applyFill="1" applyBorder="1" applyAlignment="1">
      <alignment horizontal="center" vertical="top" wrapText="1"/>
    </xf>
    <xf numFmtId="3" fontId="52" fillId="6" borderId="5" xfId="0" applyNumberFormat="1" applyFont="1" applyFill="1" applyBorder="1" applyAlignment="1">
      <alignment horizontal="center" vertical="center"/>
    </xf>
    <xf numFmtId="3" fontId="74" fillId="0" borderId="3" xfId="0" applyNumberFormat="1" applyFont="1" applyBorder="1" applyAlignment="1">
      <alignment horizontal="center" vertical="center"/>
    </xf>
    <xf numFmtId="3" fontId="74" fillId="0" borderId="3" xfId="0" applyNumberFormat="1" applyFont="1" applyFill="1" applyBorder="1" applyAlignment="1">
      <alignment horizontal="center" vertical="center"/>
    </xf>
    <xf numFmtId="3" fontId="74" fillId="9" borderId="3" xfId="0" applyNumberFormat="1" applyFont="1" applyFill="1" applyBorder="1" applyAlignment="1">
      <alignment horizontal="center" vertical="center"/>
    </xf>
    <xf numFmtId="3" fontId="74" fillId="0" borderId="6" xfId="0" applyNumberFormat="1" applyFont="1" applyBorder="1" applyAlignment="1">
      <alignment horizontal="center" vertical="center"/>
    </xf>
    <xf numFmtId="3" fontId="74" fillId="0" borderId="6" xfId="0" applyNumberFormat="1" applyFont="1" applyFill="1" applyBorder="1" applyAlignment="1">
      <alignment horizontal="center" vertical="center"/>
    </xf>
    <xf numFmtId="3" fontId="74" fillId="9" borderId="6" xfId="0" applyNumberFormat="1" applyFont="1" applyFill="1" applyBorder="1" applyAlignment="1">
      <alignment horizontal="center" vertical="center"/>
    </xf>
    <xf numFmtId="3" fontId="74" fillId="0" borderId="5" xfId="0" applyNumberFormat="1" applyFont="1" applyBorder="1" applyAlignment="1">
      <alignment horizontal="center" vertical="center"/>
    </xf>
    <xf numFmtId="3" fontId="74" fillId="9" borderId="5" xfId="0" applyNumberFormat="1" applyFont="1" applyFill="1" applyBorder="1" applyAlignment="1">
      <alignment horizontal="center" vertical="center"/>
    </xf>
    <xf numFmtId="3" fontId="74" fillId="0" borderId="5" xfId="0" applyNumberFormat="1" applyFont="1" applyFill="1" applyBorder="1" applyAlignment="1">
      <alignment horizontal="center" vertical="center"/>
    </xf>
    <xf numFmtId="0" fontId="86" fillId="0" borderId="1" xfId="0" applyFont="1" applyBorder="1" applyAlignment="1">
      <alignment horizontal="left" vertical="center" wrapText="1"/>
    </xf>
    <xf numFmtId="0" fontId="90" fillId="0" borderId="46" xfId="0" applyFont="1" applyBorder="1" applyAlignment="1">
      <alignment horizontal="center" vertical="center" wrapText="1"/>
    </xf>
    <xf numFmtId="0" fontId="90" fillId="0" borderId="46" xfId="0" applyFont="1" applyFill="1" applyBorder="1" applyAlignment="1">
      <alignment horizontal="center" vertical="center" wrapText="1"/>
    </xf>
    <xf numFmtId="0" fontId="90" fillId="10" borderId="46" xfId="0" applyFont="1" applyFill="1" applyBorder="1" applyAlignment="1">
      <alignment horizontal="center" vertical="center" wrapText="1"/>
    </xf>
    <xf numFmtId="2" fontId="91" fillId="7" borderId="4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3" fontId="92" fillId="0" borderId="3" xfId="0" applyNumberFormat="1" applyFont="1" applyBorder="1" applyAlignment="1">
      <alignment horizontal="center" vertical="center"/>
    </xf>
    <xf numFmtId="0" fontId="92" fillId="0" borderId="10" xfId="0" applyNumberFormat="1" applyFont="1" applyBorder="1" applyAlignment="1">
      <alignment horizontal="center" vertical="center"/>
    </xf>
    <xf numFmtId="3" fontId="92" fillId="0" borderId="10" xfId="0" applyNumberFormat="1" applyFont="1" applyBorder="1" applyAlignment="1">
      <alignment horizontal="center" vertical="center"/>
    </xf>
    <xf numFmtId="3" fontId="95" fillId="0" borderId="5" xfId="0" applyNumberFormat="1" applyFont="1" applyBorder="1" applyAlignment="1">
      <alignment horizontal="center" vertical="center"/>
    </xf>
    <xf numFmtId="2" fontId="95" fillId="0" borderId="1" xfId="0" applyNumberFormat="1" applyFont="1" applyBorder="1" applyAlignment="1">
      <alignment horizontal="center" vertical="center"/>
    </xf>
    <xf numFmtId="2" fontId="95" fillId="0" borderId="6" xfId="0" applyNumberFormat="1" applyFont="1" applyBorder="1" applyAlignment="1">
      <alignment horizontal="center" vertical="center"/>
    </xf>
    <xf numFmtId="3" fontId="95" fillId="0" borderId="6" xfId="0" applyNumberFormat="1" applyFont="1" applyBorder="1" applyAlignment="1">
      <alignment horizontal="center" vertical="center"/>
    </xf>
    <xf numFmtId="3" fontId="95" fillId="0" borderId="7" xfId="0" applyNumberFormat="1" applyFont="1" applyFill="1" applyBorder="1" applyAlignment="1">
      <alignment horizontal="center" vertical="center"/>
    </xf>
    <xf numFmtId="3" fontId="95" fillId="0" borderId="9" xfId="0" applyNumberFormat="1" applyFont="1" applyBorder="1" applyAlignment="1">
      <alignment horizontal="center" vertical="center"/>
    </xf>
    <xf numFmtId="3" fontId="95" fillId="0" borderId="1" xfId="0" applyNumberFormat="1" applyFont="1" applyBorder="1" applyAlignment="1">
      <alignment horizontal="center" vertical="center"/>
    </xf>
    <xf numFmtId="2" fontId="95" fillId="0" borderId="36" xfId="0" applyNumberFormat="1" applyFont="1" applyBorder="1" applyAlignment="1">
      <alignment horizontal="center" vertical="center"/>
    </xf>
    <xf numFmtId="3" fontId="95" fillId="0" borderId="36" xfId="0" applyNumberFormat="1" applyFont="1" applyBorder="1" applyAlignment="1">
      <alignment horizontal="center" vertical="center"/>
    </xf>
    <xf numFmtId="3" fontId="95" fillId="0" borderId="9" xfId="0" applyNumberFormat="1" applyFont="1" applyFill="1" applyBorder="1" applyAlignment="1">
      <alignment horizontal="center" vertical="center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73" fillId="0" borderId="47" xfId="0" applyFont="1" applyBorder="1" applyAlignment="1">
      <alignment horizontal="center" vertical="center" wrapText="1"/>
    </xf>
    <xf numFmtId="0" fontId="96" fillId="0" borderId="47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97" fillId="0" borderId="0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41" xfId="0" quotePrefix="1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72" fillId="0" borderId="0" xfId="0" quotePrefix="1" applyFont="1" applyBorder="1" applyAlignment="1" applyProtection="1">
      <alignment horizontal="left" vertical="top" wrapText="1"/>
      <protection locked="0"/>
    </xf>
    <xf numFmtId="3" fontId="100" fillId="0" borderId="0" xfId="0" quotePrefix="1" applyNumberFormat="1" applyFont="1" applyBorder="1" applyAlignment="1">
      <alignment horizontal="center" vertical="center"/>
    </xf>
    <xf numFmtId="3" fontId="100" fillId="8" borderId="0" xfId="0" quotePrefix="1" applyNumberFormat="1" applyFont="1" applyFill="1" applyBorder="1" applyAlignment="1">
      <alignment horizontal="center" vertical="center"/>
    </xf>
    <xf numFmtId="3" fontId="0" fillId="0" borderId="0" xfId="0" applyNumberFormat="1"/>
    <xf numFmtId="0" fontId="101" fillId="0" borderId="0" xfId="0" applyFont="1"/>
    <xf numFmtId="0" fontId="101" fillId="8" borderId="0" xfId="0" applyFont="1" applyFill="1"/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6" fillId="0" borderId="0" xfId="0" applyFont="1" applyBorder="1" applyAlignment="1">
      <alignment vertical="top" wrapText="1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>
      <alignment vertical="top" wrapText="1"/>
    </xf>
    <xf numFmtId="0" fontId="3" fillId="0" borderId="17" xfId="0" applyFont="1" applyBorder="1" applyAlignment="1"/>
    <xf numFmtId="0" fontId="3" fillId="0" borderId="41" xfId="0" applyFont="1" applyBorder="1"/>
    <xf numFmtId="0" fontId="3" fillId="0" borderId="3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78" fillId="0" borderId="22" xfId="0" applyFont="1" applyBorder="1" applyAlignment="1">
      <alignment horizontal="center" vertical="top"/>
    </xf>
    <xf numFmtId="0" fontId="4" fillId="0" borderId="38" xfId="0" applyFont="1" applyBorder="1" applyAlignment="1">
      <alignment horizontal="center" wrapText="1"/>
    </xf>
    <xf numFmtId="0" fontId="72" fillId="0" borderId="0" xfId="0" quotePrefix="1" applyFont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3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>
      <alignment horizontal="center" wrapText="1"/>
    </xf>
    <xf numFmtId="3" fontId="14" fillId="8" borderId="3" xfId="0" applyNumberFormat="1" applyFont="1" applyFill="1" applyBorder="1" applyAlignment="1">
      <alignment horizontal="center" wrapText="1"/>
    </xf>
    <xf numFmtId="3" fontId="9" fillId="0" borderId="3" xfId="0" applyNumberFormat="1" applyFont="1" applyFill="1" applyBorder="1" applyAlignment="1">
      <alignment horizontal="center" vertical="top" wrapText="1"/>
    </xf>
    <xf numFmtId="3" fontId="9" fillId="8" borderId="3" xfId="0" applyNumberFormat="1" applyFont="1" applyFill="1" applyBorder="1" applyAlignment="1">
      <alignment horizontal="center" vertical="top" wrapText="1"/>
    </xf>
    <xf numFmtId="4" fontId="6" fillId="8" borderId="6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3" fontId="9" fillId="0" borderId="29" xfId="0" applyNumberFormat="1" applyFont="1" applyBorder="1" applyAlignment="1">
      <alignment horizontal="center" vertical="center"/>
    </xf>
    <xf numFmtId="3" fontId="9" fillId="8" borderId="29" xfId="0" applyNumberFormat="1" applyFont="1" applyFill="1" applyBorder="1" applyAlignment="1">
      <alignment horizontal="center" vertical="center"/>
    </xf>
    <xf numFmtId="3" fontId="9" fillId="8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/>
    </xf>
    <xf numFmtId="3" fontId="14" fillId="8" borderId="4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top"/>
    </xf>
    <xf numFmtId="3" fontId="9" fillId="0" borderId="3" xfId="0" applyNumberFormat="1" applyFont="1" applyFill="1" applyBorder="1" applyAlignment="1">
      <alignment horizontal="center" vertical="top"/>
    </xf>
    <xf numFmtId="3" fontId="9" fillId="8" borderId="3" xfId="0" applyNumberFormat="1" applyFont="1" applyFill="1" applyBorder="1" applyAlignment="1">
      <alignment horizontal="center" vertical="top"/>
    </xf>
    <xf numFmtId="4" fontId="6" fillId="8" borderId="12" xfId="0" applyNumberFormat="1" applyFont="1" applyFill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/>
    </xf>
    <xf numFmtId="3" fontId="14" fillId="8" borderId="3" xfId="0" applyNumberFormat="1" applyFont="1" applyFill="1" applyBorder="1" applyAlignment="1">
      <alignment horizontal="center"/>
    </xf>
    <xf numFmtId="4" fontId="6" fillId="8" borderId="6" xfId="0" applyNumberFormat="1" applyFont="1" applyFill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14" fillId="8" borderId="11" xfId="0" applyNumberFormat="1" applyFont="1" applyFill="1" applyBorder="1" applyAlignment="1">
      <alignment horizontal="center"/>
    </xf>
    <xf numFmtId="2" fontId="6" fillId="0" borderId="3" xfId="3" applyNumberFormat="1" applyFont="1" applyBorder="1" applyAlignment="1">
      <alignment horizontal="center" vertical="center"/>
    </xf>
    <xf numFmtId="2" fontId="6" fillId="8" borderId="3" xfId="3" applyNumberFormat="1" applyFont="1" applyFill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/>
    </xf>
    <xf numFmtId="3" fontId="14" fillId="0" borderId="28" xfId="0" applyNumberFormat="1" applyFont="1" applyFill="1" applyBorder="1" applyAlignment="1">
      <alignment horizontal="center"/>
    </xf>
    <xf numFmtId="3" fontId="14" fillId="8" borderId="28" xfId="0" applyNumberFormat="1" applyFont="1" applyFill="1" applyBorder="1" applyAlignment="1">
      <alignment horizontal="center"/>
    </xf>
    <xf numFmtId="2" fontId="6" fillId="8" borderId="6" xfId="3" applyNumberFormat="1" applyFont="1" applyFill="1" applyBorder="1" applyAlignment="1">
      <alignment horizontal="center" vertical="center"/>
    </xf>
    <xf numFmtId="1" fontId="9" fillId="0" borderId="4" xfId="3" applyNumberFormat="1" applyFont="1" applyBorder="1" applyAlignment="1">
      <alignment horizontal="center" vertical="center"/>
    </xf>
    <xf numFmtId="1" fontId="9" fillId="8" borderId="4" xfId="3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/>
    </xf>
    <xf numFmtId="2" fontId="6" fillId="0" borderId="3" xfId="3" applyNumberFormat="1" applyFont="1" applyBorder="1" applyAlignment="1">
      <alignment horizontal="center" vertical="top"/>
    </xf>
    <xf numFmtId="2" fontId="6" fillId="8" borderId="3" xfId="3" applyNumberFormat="1" applyFont="1" applyFill="1" applyBorder="1" applyAlignment="1">
      <alignment horizontal="center" vertical="top"/>
    </xf>
    <xf numFmtId="2" fontId="6" fillId="8" borderId="6" xfId="3" applyNumberFormat="1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3" fontId="14" fillId="0" borderId="28" xfId="0" applyNumberFormat="1" applyFont="1" applyBorder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3" fontId="9" fillId="0" borderId="28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" fontId="6" fillId="0" borderId="3" xfId="0" applyNumberFormat="1" applyFont="1" applyBorder="1" applyAlignment="1">
      <alignment horizontal="center" vertical="center" wrapText="1"/>
    </xf>
    <xf numFmtId="1" fontId="9" fillId="0" borderId="4" xfId="3" applyNumberFormat="1" applyFont="1" applyBorder="1" applyAlignment="1">
      <alignment horizontal="center"/>
    </xf>
    <xf numFmtId="1" fontId="14" fillId="0" borderId="4" xfId="3" applyNumberFormat="1" applyFont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1" fontId="9" fillId="0" borderId="3" xfId="3" applyNumberFormat="1" applyFont="1" applyBorder="1" applyAlignment="1">
      <alignment horizontal="center" vertical="top"/>
    </xf>
    <xf numFmtId="1" fontId="9" fillId="8" borderId="3" xfId="3" applyNumberFormat="1" applyFont="1" applyFill="1" applyBorder="1" applyAlignment="1">
      <alignment horizontal="center" vertical="top"/>
    </xf>
    <xf numFmtId="4" fontId="6" fillId="0" borderId="3" xfId="3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4" fontId="6" fillId="0" borderId="6" xfId="3" applyNumberFormat="1" applyFont="1" applyBorder="1" applyAlignment="1">
      <alignment horizontal="center" vertical="center" wrapText="1"/>
    </xf>
    <xf numFmtId="9" fontId="9" fillId="0" borderId="12" xfId="0" applyNumberFormat="1" applyFont="1" applyBorder="1" applyAlignment="1">
      <alignment horizontal="center" vertical="center"/>
    </xf>
    <xf numFmtId="9" fontId="9" fillId="8" borderId="12" xfId="0" applyNumberFormat="1" applyFont="1" applyFill="1" applyBorder="1" applyAlignment="1">
      <alignment horizontal="center" vertical="center"/>
    </xf>
    <xf numFmtId="2" fontId="6" fillId="0" borderId="3" xfId="3" applyNumberFormat="1" applyFont="1" applyFill="1" applyBorder="1" applyAlignment="1">
      <alignment horizontal="center" vertical="center"/>
    </xf>
    <xf numFmtId="2" fontId="6" fillId="0" borderId="6" xfId="3" applyNumberFormat="1" applyFont="1" applyFill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top"/>
    </xf>
    <xf numFmtId="3" fontId="14" fillId="8" borderId="28" xfId="0" applyNumberFormat="1" applyFont="1" applyFill="1" applyBorder="1" applyAlignment="1">
      <alignment horizontal="center" vertical="top"/>
    </xf>
    <xf numFmtId="4" fontId="9" fillId="0" borderId="29" xfId="0" applyNumberFormat="1" applyFont="1" applyBorder="1" applyAlignment="1">
      <alignment horizontal="center" vertical="center"/>
    </xf>
    <xf numFmtId="4" fontId="9" fillId="8" borderId="29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8" borderId="15" xfId="0" applyNumberFormat="1" applyFont="1" applyFill="1" applyBorder="1" applyAlignment="1">
      <alignment horizontal="center" vertical="center"/>
    </xf>
    <xf numFmtId="3" fontId="9" fillId="8" borderId="3" xfId="0" applyNumberFormat="1" applyFont="1" applyFill="1" applyBorder="1" applyAlignment="1">
      <alignment horizontal="center" vertical="center" wrapText="1"/>
    </xf>
    <xf numFmtId="3" fontId="9" fillId="8" borderId="15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8" borderId="13" xfId="0" applyNumberFormat="1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 wrapText="1"/>
    </xf>
    <xf numFmtId="3" fontId="9" fillId="0" borderId="28" xfId="0" applyNumberFormat="1" applyFont="1" applyFill="1" applyBorder="1" applyAlignment="1">
      <alignment horizontal="center" vertical="center" wrapText="1"/>
    </xf>
    <xf numFmtId="3" fontId="9" fillId="8" borderId="28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8" borderId="1" xfId="0" applyFont="1" applyFill="1" applyBorder="1" applyAlignment="1">
      <alignment horizontal="left" vertical="top" wrapText="1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4" fontId="38" fillId="0" borderId="1" xfId="0" applyNumberFormat="1" applyFont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2" fontId="6" fillId="0" borderId="6" xfId="3" applyNumberFormat="1" applyFont="1" applyFill="1" applyBorder="1" applyAlignment="1">
      <alignment horizontal="center" vertical="top"/>
    </xf>
    <xf numFmtId="3" fontId="14" fillId="0" borderId="28" xfId="0" applyNumberFormat="1" applyFont="1" applyFill="1" applyBorder="1" applyAlignment="1">
      <alignment horizontal="center" wrapText="1"/>
    </xf>
    <xf numFmtId="0" fontId="103" fillId="0" borderId="28" xfId="0" applyFont="1" applyFill="1" applyBorder="1" applyAlignment="1">
      <alignment horizontal="center"/>
    </xf>
    <xf numFmtId="1" fontId="104" fillId="0" borderId="3" xfId="3" applyNumberFormat="1" applyFont="1" applyFill="1" applyBorder="1" applyAlignment="1">
      <alignment horizontal="center" vertical="top"/>
    </xf>
    <xf numFmtId="0" fontId="104" fillId="0" borderId="3" xfId="0" applyFont="1" applyFill="1" applyBorder="1" applyAlignment="1">
      <alignment horizontal="center" vertical="top"/>
    </xf>
    <xf numFmtId="2" fontId="95" fillId="0" borderId="6" xfId="3" applyNumberFormat="1" applyFont="1" applyFill="1" applyBorder="1" applyAlignment="1">
      <alignment horizontal="center" vertical="center"/>
    </xf>
    <xf numFmtId="3" fontId="105" fillId="0" borderId="3" xfId="0" applyNumberFormat="1" applyFont="1" applyFill="1" applyBorder="1" applyAlignment="1">
      <alignment horizontal="center" vertical="center" wrapText="1"/>
    </xf>
    <xf numFmtId="3" fontId="94" fillId="0" borderId="3" xfId="0" applyNumberFormat="1" applyFont="1" applyFill="1" applyBorder="1" applyAlignment="1">
      <alignment horizontal="center" vertical="center" wrapText="1"/>
    </xf>
    <xf numFmtId="2" fontId="93" fillId="0" borderId="6" xfId="3" applyNumberFormat="1" applyFont="1" applyFill="1" applyBorder="1" applyAlignment="1">
      <alignment horizontal="center" vertical="top"/>
    </xf>
    <xf numFmtId="0" fontId="106" fillId="0" borderId="4" xfId="0" applyFont="1" applyBorder="1" applyAlignment="1">
      <alignment horizontal="center" vertical="center" wrapText="1"/>
    </xf>
    <xf numFmtId="0" fontId="3" fillId="0" borderId="6" xfId="0" quotePrefix="1" applyFont="1" applyFill="1" applyBorder="1" applyAlignment="1" applyProtection="1">
      <alignment vertical="top" wrapText="1"/>
      <protection locked="0"/>
    </xf>
    <xf numFmtId="0" fontId="9" fillId="0" borderId="0" xfId="0" quotePrefix="1" applyFont="1"/>
    <xf numFmtId="3" fontId="92" fillId="0" borderId="3" xfId="0" applyNumberFormat="1" applyFont="1" applyBorder="1" applyAlignment="1">
      <alignment horizontal="center" vertical="top"/>
    </xf>
    <xf numFmtId="0" fontId="9" fillId="0" borderId="4" xfId="0" applyNumberFormat="1" applyFont="1" applyBorder="1" applyAlignment="1">
      <alignment horizontal="center"/>
    </xf>
    <xf numFmtId="0" fontId="9" fillId="0" borderId="4" xfId="0" quotePrefix="1" applyNumberFormat="1" applyFont="1" applyBorder="1" applyAlignment="1">
      <alignment horizontal="center"/>
    </xf>
    <xf numFmtId="0" fontId="9" fillId="0" borderId="6" xfId="0" applyFont="1" applyFill="1" applyBorder="1" applyAlignment="1">
      <alignment horizontal="left" vertical="top" wrapText="1"/>
    </xf>
    <xf numFmtId="3" fontId="6" fillId="0" borderId="6" xfId="0" applyNumberFormat="1" applyFont="1" applyBorder="1" applyAlignment="1">
      <alignment horizontal="center" vertical="top" wrapText="1"/>
    </xf>
    <xf numFmtId="0" fontId="94" fillId="0" borderId="3" xfId="0" applyFont="1" applyBorder="1" applyAlignment="1">
      <alignment horizontal="center" vertical="top" wrapText="1"/>
    </xf>
    <xf numFmtId="3" fontId="16" fillId="0" borderId="6" xfId="0" applyNumberFormat="1" applyFont="1" applyFill="1" applyBorder="1" applyAlignment="1">
      <alignment horizontal="center" vertical="top" wrapText="1"/>
    </xf>
    <xf numFmtId="3" fontId="16" fillId="8" borderId="6" xfId="0" applyNumberFormat="1" applyFont="1" applyFill="1" applyBorder="1" applyAlignment="1">
      <alignment horizontal="center" vertical="top" wrapText="1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107" fillId="0" borderId="23" xfId="0" applyFont="1" applyFill="1" applyBorder="1" applyAlignment="1">
      <alignment horizontal="left" vertical="top"/>
    </xf>
    <xf numFmtId="3" fontId="108" fillId="0" borderId="5" xfId="0" applyNumberFormat="1" applyFont="1" applyBorder="1" applyAlignment="1">
      <alignment horizontal="center" vertical="center"/>
    </xf>
    <xf numFmtId="3" fontId="109" fillId="6" borderId="5" xfId="0" applyNumberFormat="1" applyFont="1" applyFill="1" applyBorder="1" applyAlignment="1">
      <alignment horizontal="center" vertical="center"/>
    </xf>
    <xf numFmtId="3" fontId="109" fillId="0" borderId="5" xfId="0" applyNumberFormat="1" applyFont="1" applyBorder="1" applyAlignment="1">
      <alignment horizontal="center" vertical="center"/>
    </xf>
    <xf numFmtId="3" fontId="107" fillId="0" borderId="5" xfId="0" applyNumberFormat="1" applyFont="1" applyFill="1" applyBorder="1" applyAlignment="1">
      <alignment horizontal="center" vertical="top"/>
    </xf>
    <xf numFmtId="0" fontId="109" fillId="0" borderId="0" xfId="0" applyFont="1" applyFill="1"/>
    <xf numFmtId="0" fontId="109" fillId="0" borderId="0" xfId="0" applyFont="1"/>
    <xf numFmtId="0" fontId="107" fillId="0" borderId="6" xfId="0" applyFont="1" applyFill="1" applyBorder="1" applyAlignment="1">
      <alignment horizontal="left" vertical="top"/>
    </xf>
    <xf numFmtId="3" fontId="108" fillId="0" borderId="7" xfId="0" applyNumberFormat="1" applyFont="1" applyBorder="1" applyAlignment="1">
      <alignment horizontal="center" vertical="center"/>
    </xf>
    <xf numFmtId="3" fontId="108" fillId="0" borderId="6" xfId="0" applyNumberFormat="1" applyFont="1" applyBorder="1" applyAlignment="1">
      <alignment horizontal="center" vertical="center"/>
    </xf>
    <xf numFmtId="3" fontId="109" fillId="6" borderId="6" xfId="0" applyNumberFormat="1" applyFont="1" applyFill="1" applyBorder="1" applyAlignment="1">
      <alignment horizontal="center" vertical="center"/>
    </xf>
    <xf numFmtId="3" fontId="109" fillId="0" borderId="6" xfId="0" applyNumberFormat="1" applyFont="1" applyBorder="1" applyAlignment="1">
      <alignment horizontal="center" vertical="center"/>
    </xf>
    <xf numFmtId="3" fontId="109" fillId="6" borderId="7" xfId="0" applyNumberFormat="1" applyFont="1" applyFill="1" applyBorder="1" applyAlignment="1">
      <alignment horizontal="center" vertical="center"/>
    </xf>
    <xf numFmtId="3" fontId="107" fillId="0" borderId="6" xfId="0" applyNumberFormat="1" applyFont="1" applyFill="1" applyBorder="1" applyAlignment="1">
      <alignment horizontal="center" vertical="top"/>
    </xf>
    <xf numFmtId="3" fontId="110" fillId="0" borderId="10" xfId="0" applyNumberFormat="1" applyFont="1" applyFill="1" applyBorder="1" applyAlignment="1">
      <alignment horizontal="center" vertical="center"/>
    </xf>
    <xf numFmtId="3" fontId="110" fillId="0" borderId="9" xfId="0" applyNumberFormat="1" applyFont="1" applyFill="1" applyBorder="1" applyAlignment="1">
      <alignment horizontal="center" vertical="center"/>
    </xf>
    <xf numFmtId="3" fontId="110" fillId="0" borderId="5" xfId="0" applyNumberFormat="1" applyFont="1" applyFill="1" applyBorder="1" applyAlignment="1">
      <alignment horizontal="center" vertical="center"/>
    </xf>
    <xf numFmtId="3" fontId="110" fillId="0" borderId="26" xfId="0" applyNumberFormat="1" applyFont="1" applyFill="1" applyBorder="1" applyAlignment="1">
      <alignment horizontal="center" vertical="center"/>
    </xf>
    <xf numFmtId="0" fontId="73" fillId="0" borderId="4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6" xfId="0" applyFont="1" applyBorder="1" applyAlignment="1" applyProtection="1">
      <alignment vertical="top" wrapText="1"/>
      <protection locked="0"/>
    </xf>
    <xf numFmtId="0" fontId="26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>
      <alignment horizontal="center"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4" fontId="111" fillId="0" borderId="6" xfId="0" applyNumberFormat="1" applyFont="1" applyFill="1" applyBorder="1" applyAlignment="1">
      <alignment horizontal="center" vertical="center"/>
    </xf>
    <xf numFmtId="4" fontId="111" fillId="0" borderId="3" xfId="0" applyNumberFormat="1" applyFont="1" applyFill="1" applyBorder="1" applyAlignment="1">
      <alignment horizontal="center" vertical="center"/>
    </xf>
    <xf numFmtId="4" fontId="111" fillId="0" borderId="1" xfId="0" applyNumberFormat="1" applyFont="1" applyFill="1" applyBorder="1" applyAlignment="1">
      <alignment horizontal="center" vertical="center"/>
    </xf>
    <xf numFmtId="4" fontId="111" fillId="0" borderId="4" xfId="0" applyNumberFormat="1" applyFont="1" applyFill="1" applyBorder="1" applyAlignment="1">
      <alignment horizontal="center" vertical="center"/>
    </xf>
    <xf numFmtId="4" fontId="111" fillId="0" borderId="36" xfId="0" applyNumberFormat="1" applyFont="1" applyFill="1" applyBorder="1" applyAlignment="1">
      <alignment horizontal="center" vertical="center"/>
    </xf>
    <xf numFmtId="0" fontId="3" fillId="0" borderId="3" xfId="0" quotePrefix="1" applyFont="1" applyFill="1" applyBorder="1" applyAlignment="1" applyProtection="1">
      <alignment horizontal="left" vertical="top" wrapText="1"/>
    </xf>
    <xf numFmtId="0" fontId="3" fillId="0" borderId="6" xfId="0" quotePrefix="1" applyFont="1" applyFill="1" applyBorder="1" applyAlignment="1" applyProtection="1">
      <alignment horizontal="left" vertical="top" wrapText="1"/>
      <protection locked="0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4" fontId="44" fillId="0" borderId="1" xfId="0" applyNumberFormat="1" applyFont="1" applyBorder="1" applyAlignment="1">
      <alignment horizontal="right" vertical="top"/>
    </xf>
    <xf numFmtId="4" fontId="6" fillId="8" borderId="3" xfId="0" applyNumberFormat="1" applyFont="1" applyFill="1" applyBorder="1" applyAlignment="1">
      <alignment horizontal="center" vertical="center" wrapText="1"/>
    </xf>
    <xf numFmtId="3" fontId="14" fillId="8" borderId="28" xfId="0" applyNumberFormat="1" applyFont="1" applyFill="1" applyBorder="1" applyAlignment="1">
      <alignment horizontal="center" wrapText="1"/>
    </xf>
    <xf numFmtId="1" fontId="9" fillId="0" borderId="28" xfId="3" applyNumberFormat="1" applyFont="1" applyBorder="1" applyAlignment="1">
      <alignment horizontal="center" vertical="center"/>
    </xf>
    <xf numFmtId="1" fontId="9" fillId="8" borderId="28" xfId="3" applyNumberFormat="1" applyFont="1" applyFill="1" applyBorder="1" applyAlignment="1">
      <alignment horizontal="center" vertical="center"/>
    </xf>
    <xf numFmtId="1" fontId="6" fillId="0" borderId="28" xfId="3" applyNumberFormat="1" applyFont="1" applyBorder="1" applyAlignment="1">
      <alignment horizontal="center" vertical="center"/>
    </xf>
    <xf numFmtId="9" fontId="9" fillId="0" borderId="3" xfId="0" applyNumberFormat="1" applyFont="1" applyBorder="1" applyAlignment="1">
      <alignment horizontal="center" vertical="center"/>
    </xf>
    <xf numFmtId="9" fontId="9" fillId="8" borderId="3" xfId="0" applyNumberFormat="1" applyFont="1" applyFill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2" fontId="112" fillId="7" borderId="46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4" fontId="44" fillId="0" borderId="1" xfId="0" applyNumberFormat="1" applyFont="1" applyBorder="1" applyAlignment="1">
      <alignment vertical="top"/>
    </xf>
    <xf numFmtId="3" fontId="44" fillId="0" borderId="1" xfId="0" applyNumberFormat="1" applyFont="1" applyBorder="1" applyAlignment="1">
      <alignment horizontal="center" vertical="top" wrapText="1"/>
    </xf>
    <xf numFmtId="3" fontId="44" fillId="0" borderId="1" xfId="1" applyNumberFormat="1" applyFont="1" applyBorder="1" applyAlignment="1">
      <alignment horizontal="center" vertical="top"/>
    </xf>
    <xf numFmtId="3" fontId="44" fillId="0" borderId="1" xfId="0" applyNumberFormat="1" applyFont="1" applyBorder="1" applyAlignment="1">
      <alignment horizontal="center" vertical="top"/>
    </xf>
    <xf numFmtId="3" fontId="44" fillId="0" borderId="1" xfId="1" applyNumberFormat="1" applyFont="1" applyBorder="1" applyAlignment="1">
      <alignment horizontal="center" vertical="top" wrapText="1"/>
    </xf>
    <xf numFmtId="2" fontId="44" fillId="0" borderId="1" xfId="0" applyNumberFormat="1" applyFont="1" applyBorder="1" applyAlignment="1">
      <alignment horizontal="center" vertical="top"/>
    </xf>
    <xf numFmtId="2" fontId="4" fillId="7" borderId="40" xfId="0" applyNumberFormat="1" applyFont="1" applyFill="1" applyBorder="1" applyAlignment="1">
      <alignment horizontal="center" vertical="top"/>
    </xf>
    <xf numFmtId="0" fontId="4" fillId="7" borderId="40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176" fontId="44" fillId="0" borderId="1" xfId="1" applyNumberFormat="1" applyFont="1" applyFill="1" applyBorder="1" applyAlignment="1">
      <alignment vertical="top" wrapText="1"/>
    </xf>
    <xf numFmtId="176" fontId="44" fillId="0" borderId="1" xfId="1" applyNumberFormat="1" applyFont="1" applyFill="1" applyBorder="1" applyAlignment="1">
      <alignment vertical="top"/>
    </xf>
    <xf numFmtId="0" fontId="44" fillId="0" borderId="1" xfId="0" applyFont="1" applyFill="1" applyBorder="1" applyAlignment="1">
      <alignment horizontal="center" vertical="top" wrapText="1"/>
    </xf>
    <xf numFmtId="3" fontId="44" fillId="0" borderId="1" xfId="0" applyNumberFormat="1" applyFont="1" applyFill="1" applyBorder="1" applyAlignment="1">
      <alignment horizontal="center" vertical="top"/>
    </xf>
    <xf numFmtId="0" fontId="3" fillId="0" borderId="3" xfId="0" quotePrefix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3" fontId="110" fillId="8" borderId="6" xfId="0" applyNumberFormat="1" applyFont="1" applyFill="1" applyBorder="1" applyAlignment="1">
      <alignment horizontal="center" vertical="center"/>
    </xf>
    <xf numFmtId="3" fontId="110" fillId="8" borderId="36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4" fontId="114" fillId="0" borderId="1" xfId="0" applyNumberFormat="1" applyFont="1" applyFill="1" applyBorder="1" applyAlignment="1">
      <alignment horizontal="center" vertical="center" wrapText="1"/>
    </xf>
    <xf numFmtId="0" fontId="117" fillId="0" borderId="22" xfId="0" applyFont="1" applyBorder="1" applyAlignment="1">
      <alignment horizontal="center" vertical="top"/>
    </xf>
    <xf numFmtId="3" fontId="120" fillId="0" borderId="5" xfId="0" applyNumberFormat="1" applyFont="1" applyBorder="1" applyAlignment="1">
      <alignment horizontal="center" vertical="center"/>
    </xf>
    <xf numFmtId="3" fontId="92" fillId="6" borderId="4" xfId="0" applyNumberFormat="1" applyFont="1" applyFill="1" applyBorder="1" applyAlignment="1">
      <alignment horizontal="center" vertical="center"/>
    </xf>
    <xf numFmtId="3" fontId="121" fillId="0" borderId="5" xfId="0" applyNumberFormat="1" applyFont="1" applyBorder="1" applyAlignment="1">
      <alignment horizontal="center" vertical="center"/>
    </xf>
    <xf numFmtId="0" fontId="90" fillId="0" borderId="1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3" fillId="0" borderId="0" xfId="0" quotePrefix="1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vertical="top" wrapText="1"/>
    </xf>
    <xf numFmtId="0" fontId="3" fillId="0" borderId="41" xfId="0" quotePrefix="1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41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3" fillId="0" borderId="34" xfId="0" quotePrefix="1" applyFont="1" applyBorder="1" applyAlignment="1" applyProtection="1">
      <alignment horizontal="left" vertical="top" wrapText="1"/>
      <protection locked="0"/>
    </xf>
    <xf numFmtId="0" fontId="3" fillId="0" borderId="31" xfId="0" quotePrefix="1" applyFont="1" applyBorder="1" applyAlignment="1" applyProtection="1">
      <alignment horizontal="left" vertical="top" wrapText="1"/>
      <protection locked="0"/>
    </xf>
    <xf numFmtId="0" fontId="3" fillId="0" borderId="41" xfId="0" applyFont="1" applyBorder="1" applyAlignment="1" applyProtection="1">
      <alignment vertical="top" wrapText="1"/>
      <protection locked="0"/>
    </xf>
    <xf numFmtId="0" fontId="3" fillId="0" borderId="41" xfId="0" quotePrefix="1" applyFont="1" applyBorder="1" applyAlignment="1" applyProtection="1">
      <alignment vertical="top" wrapText="1"/>
      <protection locked="0"/>
    </xf>
    <xf numFmtId="0" fontId="3" fillId="0" borderId="34" xfId="0" quotePrefix="1" applyFont="1" applyBorder="1" applyAlignment="1" applyProtection="1">
      <alignment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22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4" fillId="0" borderId="41" xfId="0" applyFont="1" applyBorder="1" applyAlignment="1">
      <alignment horizontal="left" vertical="top" wrapText="1"/>
    </xf>
    <xf numFmtId="0" fontId="3" fillId="0" borderId="4" xfId="0" quotePrefix="1" applyFont="1" applyBorder="1" applyAlignment="1" applyProtection="1">
      <alignment horizontal="left" vertical="top" wrapText="1"/>
      <protection locked="0"/>
    </xf>
    <xf numFmtId="0" fontId="0" fillId="0" borderId="3" xfId="0" applyBorder="1" applyAlignment="1"/>
    <xf numFmtId="0" fontId="3" fillId="0" borderId="25" xfId="0" quotePrefix="1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0" xfId="0" quotePrefix="1" applyFont="1" applyBorder="1" applyAlignment="1" applyProtection="1">
      <alignment horizontal="left" vertical="top" wrapText="1"/>
    </xf>
    <xf numFmtId="0" fontId="3" fillId="0" borderId="31" xfId="0" quotePrefix="1" applyFont="1" applyBorder="1" applyAlignment="1" applyProtection="1">
      <alignment horizontal="left" vertical="top" wrapText="1"/>
    </xf>
    <xf numFmtId="0" fontId="3" fillId="0" borderId="41" xfId="0" quotePrefix="1" applyFont="1" applyBorder="1" applyAlignment="1" applyProtection="1">
      <alignment horizontal="left" vertical="top" wrapText="1"/>
    </xf>
    <xf numFmtId="0" fontId="3" fillId="0" borderId="34" xfId="0" quotePrefix="1" applyFont="1" applyBorder="1" applyAlignment="1" applyProtection="1">
      <alignment horizontal="left" vertical="top" wrapText="1"/>
    </xf>
    <xf numFmtId="0" fontId="3" fillId="0" borderId="0" xfId="0" quotePrefix="1" applyFont="1" applyFill="1" applyBorder="1" applyAlignment="1" applyProtection="1">
      <alignment horizontal="left" vertical="top" wrapText="1"/>
    </xf>
    <xf numFmtId="0" fontId="3" fillId="0" borderId="31" xfId="0" quotePrefix="1" applyFont="1" applyFill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30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/>
    <xf numFmtId="0" fontId="10" fillId="0" borderId="31" xfId="0" applyFont="1" applyBorder="1"/>
    <xf numFmtId="0" fontId="8" fillId="0" borderId="0" xfId="0" applyFont="1" applyAlignment="1">
      <alignment horizontal="center"/>
    </xf>
    <xf numFmtId="0" fontId="47" fillId="0" borderId="2" xfId="0" applyFont="1" applyBorder="1" applyAlignment="1">
      <alignment horizontal="left" vertical="top" wrapText="1"/>
    </xf>
    <xf numFmtId="0" fontId="47" fillId="0" borderId="38" xfId="0" applyFont="1" applyBorder="1" applyAlignment="1">
      <alignment horizontal="left" vertical="top" wrapText="1"/>
    </xf>
    <xf numFmtId="0" fontId="46" fillId="0" borderId="0" xfId="0" applyFont="1" applyAlignment="1" applyProtection="1">
      <alignment horizontal="left" vertical="top"/>
      <protection locked="0"/>
    </xf>
    <xf numFmtId="0" fontId="4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10" fillId="0" borderId="6" xfId="0" applyFont="1" applyBorder="1" applyAlignment="1">
      <alignment vertical="top" wrapText="1"/>
    </xf>
    <xf numFmtId="0" fontId="10" fillId="0" borderId="41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 applyProtection="1">
      <alignment horizontal="center" vertical="top" wrapText="1"/>
      <protection locked="0"/>
    </xf>
    <xf numFmtId="0" fontId="3" fillId="0" borderId="34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79" fillId="0" borderId="8" xfId="0" applyFont="1" applyBorder="1" applyAlignment="1"/>
    <xf numFmtId="0" fontId="79" fillId="0" borderId="30" xfId="0" applyFont="1" applyBorder="1" applyAlignment="1"/>
    <xf numFmtId="0" fontId="10" fillId="0" borderId="31" xfId="0" applyFont="1" applyBorder="1" applyAlignment="1">
      <alignment horizontal="left"/>
    </xf>
    <xf numFmtId="0" fontId="79" fillId="0" borderId="0" xfId="0" applyFont="1" applyBorder="1" applyAlignment="1">
      <alignment horizontal="left"/>
    </xf>
    <xf numFmtId="0" fontId="79" fillId="0" borderId="31" xfId="0" applyFont="1" applyBorder="1" applyAlignment="1">
      <alignment horizontal="left"/>
    </xf>
    <xf numFmtId="0" fontId="10" fillId="0" borderId="41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4" fillId="0" borderId="41" xfId="0" applyFont="1" applyFill="1" applyBorder="1" applyAlignment="1">
      <alignment horizontal="left" wrapText="1"/>
    </xf>
    <xf numFmtId="0" fontId="0" fillId="0" borderId="41" xfId="0" applyBorder="1" applyAlignment="1">
      <alignment wrapText="1"/>
    </xf>
    <xf numFmtId="0" fontId="10" fillId="0" borderId="0" xfId="0" applyFont="1" applyBorder="1" applyAlignment="1">
      <alignment horizontal="left" vertical="top" wrapText="1"/>
    </xf>
    <xf numFmtId="0" fontId="3" fillId="0" borderId="25" xfId="0" quotePrefix="1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</xf>
    <xf numFmtId="4" fontId="3" fillId="0" borderId="8" xfId="0" applyNumberFormat="1" applyFont="1" applyFill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3" fillId="0" borderId="41" xfId="0" quotePrefix="1" applyFont="1" applyFill="1" applyBorder="1" applyAlignment="1" applyProtection="1">
      <alignment horizontal="left" vertical="top" wrapText="1"/>
      <protection locked="0"/>
    </xf>
    <xf numFmtId="0" fontId="3" fillId="0" borderId="34" xfId="0" quotePrefix="1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4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top"/>
    </xf>
    <xf numFmtId="0" fontId="6" fillId="0" borderId="38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/>
    </xf>
    <xf numFmtId="3" fontId="44" fillId="0" borderId="1" xfId="0" applyNumberFormat="1" applyFont="1" applyBorder="1" applyAlignment="1">
      <alignment horizontal="right" vertical="top"/>
    </xf>
    <xf numFmtId="0" fontId="8" fillId="0" borderId="41" xfId="0" applyFont="1" applyBorder="1" applyAlignment="1">
      <alignment horizontal="center" vertical="center"/>
    </xf>
    <xf numFmtId="3" fontId="44" fillId="0" borderId="2" xfId="0" applyNumberFormat="1" applyFont="1" applyBorder="1" applyAlignment="1">
      <alignment vertical="top"/>
    </xf>
    <xf numFmtId="3" fontId="44" fillId="0" borderId="43" xfId="0" applyNumberFormat="1" applyFont="1" applyBorder="1" applyAlignment="1">
      <alignment vertical="top"/>
    </xf>
    <xf numFmtId="3" fontId="44" fillId="0" borderId="38" xfId="0" applyNumberFormat="1" applyFont="1" applyBorder="1" applyAlignment="1">
      <alignment vertical="top"/>
    </xf>
    <xf numFmtId="4" fontId="44" fillId="0" borderId="2" xfId="0" applyNumberFormat="1" applyFont="1" applyBorder="1" applyAlignment="1">
      <alignment vertical="top"/>
    </xf>
    <xf numFmtId="4" fontId="44" fillId="0" borderId="43" xfId="0" applyNumberFormat="1" applyFont="1" applyBorder="1" applyAlignment="1">
      <alignment vertical="top"/>
    </xf>
    <xf numFmtId="4" fontId="44" fillId="0" borderId="38" xfId="0" applyNumberFormat="1" applyFont="1" applyBorder="1" applyAlignment="1">
      <alignment vertical="top"/>
    </xf>
    <xf numFmtId="0" fontId="44" fillId="0" borderId="2" xfId="0" applyFont="1" applyBorder="1" applyAlignment="1">
      <alignment horizontal="center" vertical="top"/>
    </xf>
    <xf numFmtId="0" fontId="44" fillId="0" borderId="43" xfId="0" applyFont="1" applyBorder="1" applyAlignment="1">
      <alignment horizontal="center" vertical="top"/>
    </xf>
    <xf numFmtId="0" fontId="44" fillId="0" borderId="38" xfId="0" applyFont="1" applyBorder="1" applyAlignment="1">
      <alignment horizontal="center" vertical="top"/>
    </xf>
    <xf numFmtId="4" fontId="44" fillId="0" borderId="2" xfId="0" applyNumberFormat="1" applyFont="1" applyBorder="1" applyAlignment="1">
      <alignment horizontal="right" vertical="top"/>
    </xf>
    <xf numFmtId="4" fontId="44" fillId="0" borderId="43" xfId="0" applyNumberFormat="1" applyFont="1" applyBorder="1" applyAlignment="1">
      <alignment horizontal="right" vertical="top"/>
    </xf>
    <xf numFmtId="4" fontId="44" fillId="0" borderId="38" xfId="0" applyNumberFormat="1" applyFont="1" applyBorder="1" applyAlignment="1">
      <alignment horizontal="right" vertical="top"/>
    </xf>
    <xf numFmtId="2" fontId="44" fillId="0" borderId="2" xfId="0" applyNumberFormat="1" applyFont="1" applyFill="1" applyBorder="1" applyAlignment="1">
      <alignment horizontal="right" vertical="top"/>
    </xf>
    <xf numFmtId="2" fontId="44" fillId="0" borderId="43" xfId="0" applyNumberFormat="1" applyFont="1" applyFill="1" applyBorder="1" applyAlignment="1">
      <alignment horizontal="right" vertical="top"/>
    </xf>
    <xf numFmtId="2" fontId="44" fillId="0" borderId="38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113" fillId="0" borderId="43" xfId="0" applyFont="1" applyBorder="1" applyAlignment="1">
      <alignment horizontal="right" vertical="top"/>
    </xf>
    <xf numFmtId="0" fontId="113" fillId="0" borderId="38" xfId="0" applyFont="1" applyBorder="1" applyAlignment="1">
      <alignment horizontal="right" vertical="top"/>
    </xf>
    <xf numFmtId="0" fontId="9" fillId="2" borderId="0" xfId="0" applyFont="1" applyFill="1" applyBorder="1" applyAlignment="1">
      <alignment horizontal="left" vertical="top" wrapText="1"/>
    </xf>
    <xf numFmtId="4" fontId="41" fillId="0" borderId="3" xfId="0" applyNumberFormat="1" applyFont="1" applyFill="1" applyBorder="1" applyAlignment="1">
      <alignment horizontal="left" vertical="center" wrapText="1"/>
    </xf>
    <xf numFmtId="4" fontId="41" fillId="0" borderId="37" xfId="0" applyNumberFormat="1" applyFont="1" applyFill="1" applyBorder="1" applyAlignment="1">
      <alignment horizontal="left" vertical="center" wrapText="1"/>
    </xf>
    <xf numFmtId="0" fontId="119" fillId="0" borderId="0" xfId="0" applyFont="1" applyAlignment="1">
      <alignment horizontal="center"/>
    </xf>
    <xf numFmtId="0" fontId="118" fillId="0" borderId="0" xfId="0" applyFont="1" applyAlignment="1">
      <alignment horizontal="center"/>
    </xf>
    <xf numFmtId="0" fontId="4" fillId="11" borderId="4" xfId="0" applyFont="1" applyFill="1" applyBorder="1" applyAlignment="1" applyProtection="1">
      <alignment horizontal="center" vertical="center" wrapText="1"/>
    </xf>
    <xf numFmtId="0" fontId="4" fillId="11" borderId="6" xfId="0" applyFont="1" applyFill="1" applyBorder="1" applyAlignment="1" applyProtection="1">
      <alignment horizontal="center" vertical="center" wrapText="1"/>
    </xf>
    <xf numFmtId="0" fontId="89" fillId="11" borderId="4" xfId="0" applyFont="1" applyFill="1" applyBorder="1" applyAlignment="1">
      <alignment horizontal="center" vertical="center" wrapText="1"/>
    </xf>
    <xf numFmtId="0" fontId="89" fillId="11" borderId="6" xfId="0" applyFont="1" applyFill="1" applyBorder="1" applyAlignment="1">
      <alignment horizontal="center" vertical="center" wrapText="1"/>
    </xf>
    <xf numFmtId="0" fontId="89" fillId="11" borderId="44" xfId="0" applyFont="1" applyFill="1" applyBorder="1" applyAlignment="1" applyProtection="1">
      <alignment horizontal="center" vertical="center" wrapText="1"/>
    </xf>
    <xf numFmtId="0" fontId="89" fillId="11" borderId="45" xfId="0" applyFont="1" applyFill="1" applyBorder="1" applyAlignment="1" applyProtection="1">
      <alignment horizontal="center" vertical="center" wrapText="1"/>
    </xf>
    <xf numFmtId="0" fontId="13" fillId="11" borderId="48" xfId="0" applyFont="1" applyFill="1" applyBorder="1" applyAlignment="1" applyProtection="1">
      <alignment horizontal="center" vertical="center" wrapText="1"/>
    </xf>
    <xf numFmtId="0" fontId="13" fillId="11" borderId="49" xfId="0" applyFont="1" applyFill="1" applyBorder="1" applyAlignment="1" applyProtection="1">
      <alignment horizontal="center" vertical="center" wrapText="1"/>
    </xf>
    <xf numFmtId="0" fontId="89" fillId="11" borderId="4" xfId="0" applyFont="1" applyFill="1" applyBorder="1" applyAlignment="1">
      <alignment horizontal="center" vertical="center"/>
    </xf>
    <xf numFmtId="0" fontId="89" fillId="11" borderId="6" xfId="0" applyFont="1" applyFill="1" applyBorder="1" applyAlignment="1">
      <alignment horizontal="center" vertical="center"/>
    </xf>
    <xf numFmtId="0" fontId="89" fillId="11" borderId="4" xfId="0" applyFont="1" applyFill="1" applyBorder="1" applyAlignment="1" applyProtection="1">
      <alignment horizontal="center" vertical="center" wrapText="1"/>
    </xf>
    <xf numFmtId="0" fontId="89" fillId="11" borderId="6" xfId="0" applyFont="1" applyFill="1" applyBorder="1" applyAlignment="1" applyProtection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  <color rgb="FF3333FF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pu.ac.th/research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5"/>
  <sheetViews>
    <sheetView tabSelected="1" view="pageBreakPreview" zoomScale="70" zoomScaleNormal="100" zoomScaleSheetLayoutView="70" workbookViewId="0">
      <selection activeCell="C1" sqref="C1:F1"/>
    </sheetView>
  </sheetViews>
  <sheetFormatPr defaultRowHeight="20.25"/>
  <cols>
    <col min="1" max="1" width="3.140625" style="32" customWidth="1"/>
    <col min="2" max="2" width="5" style="31" customWidth="1"/>
    <col min="3" max="3" width="31.42578125" style="4" customWidth="1"/>
    <col min="4" max="4" width="17.7109375" style="4" customWidth="1"/>
    <col min="5" max="5" width="20.7109375" style="4" customWidth="1"/>
    <col min="6" max="6" width="24.5703125" style="4" customWidth="1"/>
    <col min="7" max="16384" width="9.140625" style="4"/>
  </cols>
  <sheetData>
    <row r="1" spans="1:6" s="3" customFormat="1" ht="30">
      <c r="A1" s="75" t="s">
        <v>63</v>
      </c>
      <c r="B1" s="68"/>
      <c r="C1" s="1050" t="s">
        <v>355</v>
      </c>
      <c r="D1" s="1050"/>
      <c r="E1" s="1050"/>
      <c r="F1" s="1050"/>
    </row>
    <row r="2" spans="1:6" s="3" customFormat="1" ht="10.5" customHeight="1">
      <c r="A2" s="75"/>
      <c r="B2" s="68"/>
      <c r="C2" s="108"/>
      <c r="D2" s="108"/>
      <c r="E2" s="108"/>
      <c r="F2" s="108"/>
    </row>
    <row r="3" spans="1:6" s="3" customFormat="1" ht="24.75" customHeight="1">
      <c r="A3" s="75"/>
      <c r="B3" s="1053" t="s">
        <v>138</v>
      </c>
      <c r="C3" s="1053"/>
      <c r="D3" s="1053"/>
      <c r="E3" s="1053"/>
      <c r="F3" s="1053"/>
    </row>
    <row r="4" spans="1:6" s="3" customFormat="1" ht="18" customHeight="1">
      <c r="A4" s="75"/>
      <c r="B4" s="498"/>
      <c r="C4" s="498"/>
      <c r="D4" s="498"/>
      <c r="E4" s="498"/>
      <c r="F4" s="498"/>
    </row>
    <row r="5" spans="1:6" s="1" customFormat="1" ht="26.25">
      <c r="A5" s="75" t="s">
        <v>65</v>
      </c>
      <c r="B5" s="68"/>
      <c r="C5" s="611" t="s">
        <v>523</v>
      </c>
    </row>
    <row r="6" spans="1:6" ht="18" customHeight="1">
      <c r="A6" s="69"/>
      <c r="B6" s="68"/>
    </row>
    <row r="7" spans="1:6" s="1" customFormat="1" ht="45" customHeight="1">
      <c r="A7" s="616"/>
      <c r="B7" s="1004" t="s">
        <v>527</v>
      </c>
      <c r="C7" s="1004"/>
      <c r="D7" s="1004"/>
      <c r="E7" s="1004"/>
      <c r="F7" s="1004"/>
    </row>
    <row r="8" spans="1:6" s="1" customFormat="1" ht="24" customHeight="1">
      <c r="A8" s="616"/>
      <c r="B8" s="617"/>
      <c r="C8" s="618" t="s">
        <v>336</v>
      </c>
      <c r="D8" s="619" t="s">
        <v>525</v>
      </c>
      <c r="E8" s="619" t="s">
        <v>526</v>
      </c>
      <c r="F8" s="619" t="s">
        <v>531</v>
      </c>
    </row>
    <row r="9" spans="1:6" s="1" customFormat="1" ht="66.75" customHeight="1">
      <c r="A9" s="616"/>
      <c r="B9" s="1051" t="s">
        <v>337</v>
      </c>
      <c r="C9" s="1052"/>
      <c r="D9" s="620" t="s">
        <v>74</v>
      </c>
      <c r="E9" s="769" t="str">
        <f>CONCATENATE("ระดับ ",COUNTIF(B12:B26,$A$1))</f>
        <v>ระดับ 7</v>
      </c>
      <c r="F9" s="769">
        <v>3</v>
      </c>
    </row>
    <row r="10" spans="1:6" s="1" customFormat="1" ht="10.5" customHeight="1">
      <c r="A10" s="616"/>
      <c r="B10" s="622"/>
    </row>
    <row r="11" spans="1:6" s="1" customFormat="1" ht="24" customHeight="1">
      <c r="A11" s="616"/>
      <c r="B11" s="623"/>
      <c r="C11" s="995" t="s">
        <v>744</v>
      </c>
      <c r="D11" s="995"/>
      <c r="E11" s="996"/>
      <c r="F11" s="624" t="s">
        <v>528</v>
      </c>
    </row>
    <row r="12" spans="1:6" s="628" customFormat="1" ht="23.25">
      <c r="A12" s="625"/>
      <c r="B12" s="626" t="str">
        <f>IF(ISBLANK(A13),$A$6,IF(A13=1,$A$1,IF(A13=0,$A$5,$A$6)))</f>
        <v>þ</v>
      </c>
      <c r="C12" s="997" t="s">
        <v>560</v>
      </c>
      <c r="D12" s="997"/>
      <c r="E12" s="998"/>
      <c r="F12" s="627"/>
    </row>
    <row r="13" spans="1:6" s="628" customFormat="1" ht="177.75" customHeight="1">
      <c r="A13" s="625">
        <v>1</v>
      </c>
      <c r="B13" s="651"/>
      <c r="C13" s="1033" t="s">
        <v>1105</v>
      </c>
      <c r="D13" s="1034"/>
      <c r="E13" s="1035"/>
      <c r="F13" s="663" t="s">
        <v>790</v>
      </c>
    </row>
    <row r="14" spans="1:6" s="609" customFormat="1" ht="67.5" customHeight="1">
      <c r="A14" s="77"/>
      <c r="B14" s="651" t="str">
        <f>IF(ISBLANK(A15),$A$6,IF(A15=1,$A$1,IF(A15=0,$A$5,$A$6)))</f>
        <v>þ</v>
      </c>
      <c r="C14" s="1003" t="s">
        <v>45</v>
      </c>
      <c r="D14" s="1054"/>
      <c r="E14" s="1054"/>
      <c r="F14" s="662"/>
    </row>
    <row r="15" spans="1:6" s="8" customFormat="1" ht="276" customHeight="1">
      <c r="A15" s="77">
        <v>1</v>
      </c>
      <c r="B15" s="632"/>
      <c r="C15" s="1005" t="s">
        <v>1069</v>
      </c>
      <c r="D15" s="1057"/>
      <c r="E15" s="1058"/>
      <c r="F15" s="631" t="s">
        <v>882</v>
      </c>
    </row>
    <row r="16" spans="1:6" s="1" customFormat="1" ht="24" customHeight="1">
      <c r="A16" s="616"/>
      <c r="B16" s="623"/>
      <c r="C16" s="995" t="s">
        <v>744</v>
      </c>
      <c r="D16" s="995"/>
      <c r="E16" s="996"/>
      <c r="F16" s="624" t="s">
        <v>528</v>
      </c>
    </row>
    <row r="17" spans="1:9" s="609" customFormat="1" ht="47.25" customHeight="1">
      <c r="A17" s="77"/>
      <c r="B17" s="626" t="str">
        <f>IF(ISBLANK(A18),$A$6,IF(A18=1,$A$1,IF(A18=0,$A$5,$A$6)))</f>
        <v>þ</v>
      </c>
      <c r="C17" s="998" t="s">
        <v>674</v>
      </c>
      <c r="D17" s="1059"/>
      <c r="E17" s="1059"/>
      <c r="F17" s="630"/>
    </row>
    <row r="18" spans="1:9" s="8" customFormat="1" ht="132.75" customHeight="1">
      <c r="A18" s="77">
        <v>1</v>
      </c>
      <c r="B18" s="664"/>
      <c r="C18" s="1012" t="s">
        <v>883</v>
      </c>
      <c r="D18" s="1060"/>
      <c r="E18" s="1060"/>
      <c r="F18" s="662" t="s">
        <v>27</v>
      </c>
    </row>
    <row r="19" spans="1:9" s="609" customFormat="1" ht="23.25" customHeight="1">
      <c r="A19" s="77"/>
      <c r="B19" s="651" t="str">
        <f>IF(ISBLANK(A20),$A$6,IF(A20=1,$A$1,IF(A20=0,$A$5,$A$6)))</f>
        <v>þ</v>
      </c>
      <c r="C19" s="1003" t="s">
        <v>676</v>
      </c>
      <c r="D19" s="1054"/>
      <c r="E19" s="1054"/>
      <c r="F19" s="662"/>
    </row>
    <row r="20" spans="1:9" s="8" customFormat="1" ht="91.5" customHeight="1">
      <c r="A20" s="77">
        <v>1</v>
      </c>
      <c r="B20" s="664"/>
      <c r="C20" s="1012" t="s">
        <v>861</v>
      </c>
      <c r="D20" s="1060"/>
      <c r="E20" s="1060"/>
      <c r="F20" s="982" t="s">
        <v>1106</v>
      </c>
    </row>
    <row r="21" spans="1:9" s="609" customFormat="1" ht="45" customHeight="1">
      <c r="A21" s="77"/>
      <c r="B21" s="651" t="str">
        <f>IF(ISBLANK(A22),$A$6,IF(A22=1,$A$1,IF(A22=0,$A$5,$A$6)))</f>
        <v>þ</v>
      </c>
      <c r="C21" s="1003" t="s">
        <v>675</v>
      </c>
      <c r="D21" s="1054"/>
      <c r="E21" s="1054"/>
      <c r="F21" s="662"/>
    </row>
    <row r="22" spans="1:9" s="8" customFormat="1" ht="294.75" customHeight="1">
      <c r="A22" s="77">
        <v>1</v>
      </c>
      <c r="B22" s="632"/>
      <c r="C22" s="1011" t="s">
        <v>975</v>
      </c>
      <c r="D22" s="1070"/>
      <c r="E22" s="1070"/>
      <c r="F22" s="764" t="s">
        <v>974</v>
      </c>
    </row>
    <row r="23" spans="1:9" s="1" customFormat="1" ht="24" customHeight="1">
      <c r="A23" s="616"/>
      <c r="B23" s="623"/>
      <c r="C23" s="995" t="s">
        <v>744</v>
      </c>
      <c r="D23" s="995"/>
      <c r="E23" s="996"/>
      <c r="F23" s="624" t="s">
        <v>528</v>
      </c>
    </row>
    <row r="24" spans="1:9" s="609" customFormat="1" ht="71.25" customHeight="1">
      <c r="A24" s="77"/>
      <c r="B24" s="651" t="str">
        <f>IF(ISBLANK(A25),$A$6,IF(A25=1,$A$1,IF(A25=0,$A$5,$A$6)))</f>
        <v>þ</v>
      </c>
      <c r="C24" s="1003" t="s">
        <v>677</v>
      </c>
      <c r="D24" s="1054"/>
      <c r="E24" s="1054"/>
      <c r="F24" s="781"/>
    </row>
    <row r="25" spans="1:9" s="8" customFormat="1" ht="321" customHeight="1">
      <c r="A25" s="77">
        <v>1</v>
      </c>
      <c r="B25" s="664"/>
      <c r="C25" s="1012" t="s">
        <v>916</v>
      </c>
      <c r="D25" s="1055"/>
      <c r="E25" s="1055"/>
      <c r="F25" s="797" t="s">
        <v>915</v>
      </c>
    </row>
    <row r="26" spans="1:9" ht="48.75" customHeight="1">
      <c r="B26" s="651" t="str">
        <f>IF(ISBLANK(A27),$A$6,IF(A27=1,$A$1,IF(A27=0,$A$5,$A$6)))</f>
        <v>þ</v>
      </c>
      <c r="C26" s="1003" t="s">
        <v>673</v>
      </c>
      <c r="D26" s="1054"/>
      <c r="E26" s="1054"/>
      <c r="F26" s="665"/>
    </row>
    <row r="27" spans="1:9" ht="181.5" customHeight="1">
      <c r="A27" s="32">
        <v>1</v>
      </c>
      <c r="B27" s="629"/>
      <c r="C27" s="1015" t="s">
        <v>884</v>
      </c>
      <c r="D27" s="1056"/>
      <c r="E27" s="1056"/>
      <c r="F27" s="764" t="s">
        <v>976</v>
      </c>
    </row>
    <row r="28" spans="1:9" ht="18" customHeight="1">
      <c r="B28" s="700"/>
      <c r="C28" s="710"/>
      <c r="D28" s="790"/>
      <c r="E28" s="790"/>
      <c r="F28" s="782"/>
    </row>
    <row r="29" spans="1:9" ht="28.5" customHeight="1">
      <c r="B29" s="583"/>
      <c r="C29" s="1004" t="s">
        <v>529</v>
      </c>
      <c r="D29" s="1004"/>
      <c r="E29" s="1004"/>
      <c r="F29" s="1004"/>
    </row>
    <row r="30" spans="1:9" ht="23.25">
      <c r="B30" s="647"/>
      <c r="C30" s="618" t="s">
        <v>336</v>
      </c>
      <c r="D30" s="619" t="s">
        <v>525</v>
      </c>
      <c r="E30" s="619" t="s">
        <v>526</v>
      </c>
      <c r="F30" s="619" t="s">
        <v>531</v>
      </c>
    </row>
    <row r="31" spans="1:9" ht="64.5" customHeight="1">
      <c r="B31" s="629"/>
      <c r="C31" s="634" t="s">
        <v>530</v>
      </c>
      <c r="D31" s="648" t="s">
        <v>757</v>
      </c>
      <c r="E31" s="988">
        <f>val1.2</f>
        <v>89.55</v>
      </c>
      <c r="F31" s="650">
        <v>2</v>
      </c>
      <c r="I31" s="70"/>
    </row>
    <row r="32" spans="1:9" ht="10.5" customHeight="1">
      <c r="B32" s="622"/>
      <c r="C32" s="1"/>
      <c r="D32" s="1"/>
      <c r="E32" s="1"/>
      <c r="F32" s="1"/>
    </row>
    <row r="33" spans="2:7" ht="21" customHeight="1">
      <c r="B33" s="647"/>
      <c r="C33" s="635" t="s">
        <v>106</v>
      </c>
      <c r="D33" s="1027" t="s">
        <v>528</v>
      </c>
      <c r="E33" s="1028"/>
      <c r="F33" s="1029"/>
    </row>
    <row r="34" spans="2:7" ht="20.25" customHeight="1">
      <c r="B34" s="651"/>
      <c r="C34" s="652" t="s">
        <v>787</v>
      </c>
      <c r="D34" s="1061" t="s">
        <v>1040</v>
      </c>
      <c r="E34" s="1062"/>
      <c r="F34" s="1063"/>
    </row>
    <row r="35" spans="2:7" ht="20.25" customHeight="1">
      <c r="B35" s="651"/>
      <c r="C35" s="653" t="s">
        <v>532</v>
      </c>
      <c r="D35" s="1064"/>
      <c r="E35" s="1065"/>
      <c r="F35" s="1066"/>
    </row>
    <row r="36" spans="2:7" ht="20.25" customHeight="1">
      <c r="B36" s="651"/>
      <c r="C36" s="654" t="str">
        <f>CONCATENATE(data1_1.2,"x100")</f>
        <v>60x100</v>
      </c>
      <c r="D36" s="1064"/>
      <c r="E36" s="1065"/>
      <c r="F36" s="1066"/>
    </row>
    <row r="37" spans="2:7" ht="20.25" customHeight="1">
      <c r="B37" s="651"/>
      <c r="C37" s="655">
        <f>data1_1.1</f>
        <v>67</v>
      </c>
      <c r="D37" s="1064"/>
      <c r="E37" s="1065"/>
      <c r="F37" s="1066"/>
    </row>
    <row r="38" spans="2:7" ht="20.25" customHeight="1">
      <c r="B38" s="629"/>
      <c r="C38" s="656">
        <f>ROUND(data1_1.2*100/data1_1.1,2)</f>
        <v>89.55</v>
      </c>
      <c r="D38" s="1067"/>
      <c r="E38" s="1068"/>
      <c r="F38" s="1069"/>
    </row>
    <row r="40" spans="2:7" ht="26.25">
      <c r="B40" s="328"/>
      <c r="C40" s="611" t="s">
        <v>533</v>
      </c>
    </row>
    <row r="41" spans="2:7" ht="20.25" customHeight="1"/>
    <row r="42" spans="2:7" ht="23.25">
      <c r="B42" s="573"/>
      <c r="C42" s="1023" t="s">
        <v>534</v>
      </c>
      <c r="D42" s="1023"/>
      <c r="E42" s="1023"/>
      <c r="F42" s="1023"/>
    </row>
    <row r="43" spans="2:7" ht="23.25">
      <c r="B43" s="647"/>
      <c r="C43" s="618" t="s">
        <v>336</v>
      </c>
      <c r="D43" s="619" t="s">
        <v>525</v>
      </c>
      <c r="E43" s="619" t="s">
        <v>526</v>
      </c>
      <c r="F43" s="619" t="s">
        <v>531</v>
      </c>
    </row>
    <row r="44" spans="2:7" ht="65.25">
      <c r="B44" s="647"/>
      <c r="C44" s="528" t="s">
        <v>99</v>
      </c>
      <c r="D44" s="648" t="s">
        <v>47</v>
      </c>
      <c r="E44" s="769" t="s">
        <v>47</v>
      </c>
      <c r="F44" s="769">
        <v>2</v>
      </c>
      <c r="G44" s="71"/>
    </row>
    <row r="45" spans="2:7" ht="10.5" customHeight="1">
      <c r="B45" s="622"/>
      <c r="C45" s="1"/>
      <c r="D45" s="1"/>
      <c r="E45" s="1"/>
      <c r="F45" s="1"/>
    </row>
    <row r="46" spans="2:7" ht="24" customHeight="1">
      <c r="B46" s="623"/>
      <c r="C46" s="995" t="s">
        <v>744</v>
      </c>
      <c r="D46" s="995"/>
      <c r="E46" s="996"/>
      <c r="F46" s="624" t="s">
        <v>528</v>
      </c>
    </row>
    <row r="47" spans="2:7" ht="24.75" customHeight="1">
      <c r="B47" s="657" t="s">
        <v>745</v>
      </c>
      <c r="C47" s="997" t="s">
        <v>350</v>
      </c>
      <c r="D47" s="1071"/>
      <c r="E47" s="1072"/>
      <c r="F47" s="658"/>
    </row>
    <row r="48" spans="2:7" ht="339" customHeight="1">
      <c r="B48" s="666"/>
      <c r="C48" s="1000" t="s">
        <v>788</v>
      </c>
      <c r="D48" s="1000"/>
      <c r="E48" s="1073"/>
      <c r="F48" s="659" t="s">
        <v>190</v>
      </c>
    </row>
    <row r="49" spans="1:6" ht="28.5" customHeight="1">
      <c r="A49" s="32">
        <v>1</v>
      </c>
      <c r="B49" s="798" t="s">
        <v>745</v>
      </c>
      <c r="C49" s="1002" t="s">
        <v>351</v>
      </c>
      <c r="D49" s="1074"/>
      <c r="E49" s="1075"/>
      <c r="F49" s="659"/>
    </row>
    <row r="50" spans="1:6" ht="182.25" customHeight="1">
      <c r="A50" s="77">
        <v>1</v>
      </c>
      <c r="B50" s="629" t="e">
        <f>IF(ISBLANK(A50),$A$6,IF(AND(A50=1,#REF!=1),$A$1,IF(A50=0,$A$5,$A$6)))</f>
        <v>#REF!</v>
      </c>
      <c r="C50" s="1006" t="s">
        <v>692</v>
      </c>
      <c r="D50" s="1076"/>
      <c r="E50" s="1077"/>
      <c r="F50" s="660" t="s">
        <v>1013</v>
      </c>
    </row>
    <row r="51" spans="1:6" ht="24" customHeight="1">
      <c r="B51" s="623"/>
      <c r="C51" s="995" t="s">
        <v>744</v>
      </c>
      <c r="D51" s="995"/>
      <c r="E51" s="996"/>
      <c r="F51" s="624" t="s">
        <v>528</v>
      </c>
    </row>
    <row r="52" spans="1:6" ht="45.75" customHeight="1">
      <c r="A52" s="77"/>
      <c r="B52" s="798" t="s">
        <v>745</v>
      </c>
      <c r="C52" s="1002" t="s">
        <v>552</v>
      </c>
      <c r="D52" s="1002"/>
      <c r="E52" s="1003"/>
      <c r="F52" s="791"/>
    </row>
    <row r="53" spans="1:6" ht="138" customHeight="1">
      <c r="A53" s="77"/>
      <c r="B53" s="651"/>
      <c r="C53" s="1000" t="s">
        <v>16</v>
      </c>
      <c r="D53" s="1000"/>
      <c r="E53" s="1078"/>
      <c r="F53" s="780" t="s">
        <v>17</v>
      </c>
    </row>
    <row r="54" spans="1:6" ht="67.5" customHeight="1">
      <c r="A54" s="77"/>
      <c r="B54" s="798" t="s">
        <v>745</v>
      </c>
      <c r="C54" s="1002" t="s">
        <v>357</v>
      </c>
      <c r="D54" s="1002"/>
      <c r="E54" s="1003"/>
      <c r="F54" s="780"/>
    </row>
    <row r="55" spans="1:6" ht="93" customHeight="1">
      <c r="A55" s="77">
        <v>1</v>
      </c>
      <c r="B55" s="651" t="e">
        <f>IF(ISBLANK(A55),$A$6,IF(AND(A55=1,#REF!=1,A50=1,#REF!=1),$A$1,IF(A55=0,$A$5,$A$6)))</f>
        <v>#REF!</v>
      </c>
      <c r="C55" s="1000" t="s">
        <v>1041</v>
      </c>
      <c r="D55" s="1000"/>
      <c r="E55" s="1001"/>
      <c r="F55" s="780" t="s">
        <v>697</v>
      </c>
    </row>
    <row r="56" spans="1:6" ht="67.5" customHeight="1">
      <c r="A56" s="77">
        <v>1</v>
      </c>
      <c r="B56" s="798" t="s">
        <v>745</v>
      </c>
      <c r="C56" s="1002" t="s">
        <v>352</v>
      </c>
      <c r="D56" s="1002"/>
      <c r="E56" s="1003"/>
      <c r="F56" s="665"/>
    </row>
    <row r="57" spans="1:6" ht="114" customHeight="1">
      <c r="A57" s="77"/>
      <c r="B57" s="651"/>
      <c r="C57" s="1000" t="s">
        <v>400</v>
      </c>
      <c r="D57" s="1000"/>
      <c r="E57" s="1001"/>
      <c r="F57" s="780" t="s">
        <v>73</v>
      </c>
    </row>
    <row r="58" spans="1:6" ht="68.25" customHeight="1">
      <c r="A58" s="77"/>
      <c r="B58" s="651" t="s">
        <v>402</v>
      </c>
      <c r="C58" s="1002" t="s">
        <v>353</v>
      </c>
      <c r="D58" s="1002"/>
      <c r="E58" s="1003"/>
      <c r="F58" s="780"/>
    </row>
    <row r="59" spans="1:6" ht="67.5" customHeight="1">
      <c r="A59" s="77">
        <v>0</v>
      </c>
      <c r="B59" s="667"/>
      <c r="C59" s="1020" t="s">
        <v>885</v>
      </c>
      <c r="D59" s="1020"/>
      <c r="E59" s="1021"/>
      <c r="F59" s="780" t="s">
        <v>789</v>
      </c>
    </row>
    <row r="60" spans="1:6" ht="67.5" customHeight="1">
      <c r="A60" s="77">
        <v>0</v>
      </c>
      <c r="B60" s="629" t="s">
        <v>402</v>
      </c>
      <c r="C60" s="1023" t="s">
        <v>354</v>
      </c>
      <c r="D60" s="1023"/>
      <c r="E60" s="1085"/>
      <c r="F60" s="764"/>
    </row>
    <row r="61" spans="1:6" ht="21" customHeight="1"/>
    <row r="62" spans="1:6" ht="23.25">
      <c r="B62" s="622"/>
      <c r="C62" s="1023" t="s">
        <v>535</v>
      </c>
      <c r="D62" s="1023"/>
      <c r="E62" s="1023"/>
      <c r="F62" s="1023"/>
    </row>
    <row r="63" spans="1:6" ht="23.25">
      <c r="B63" s="647"/>
      <c r="C63" s="618" t="s">
        <v>336</v>
      </c>
      <c r="D63" s="619" t="s">
        <v>525</v>
      </c>
      <c r="E63" s="619" t="s">
        <v>526</v>
      </c>
      <c r="F63" s="619" t="s">
        <v>531</v>
      </c>
    </row>
    <row r="64" spans="1:6" ht="65.25">
      <c r="B64" s="647"/>
      <c r="C64" s="528" t="s">
        <v>524</v>
      </c>
      <c r="D64" s="648" t="s">
        <v>74</v>
      </c>
      <c r="E64" s="769" t="str">
        <f>CONCATENATE("ระดับ ",COUNTIF(B67:B81,$A$1))</f>
        <v>ระดับ 7</v>
      </c>
      <c r="F64" s="769">
        <v>3</v>
      </c>
    </row>
    <row r="65" spans="1:6" ht="10.5" customHeight="1">
      <c r="B65" s="622"/>
      <c r="C65" s="1"/>
      <c r="D65" s="1"/>
      <c r="E65" s="1"/>
      <c r="F65" s="1"/>
    </row>
    <row r="66" spans="1:6" ht="24" customHeight="1">
      <c r="B66" s="623"/>
      <c r="C66" s="995" t="s">
        <v>744</v>
      </c>
      <c r="D66" s="995"/>
      <c r="E66" s="996"/>
      <c r="F66" s="624" t="s">
        <v>528</v>
      </c>
    </row>
    <row r="67" spans="1:6" ht="44.25" customHeight="1">
      <c r="B67" s="651" t="str">
        <f>IF(ISBLANK(A68),$A$5,IF(A68=1,$A$1,IF(A68=0,#REF!,$A$5)))</f>
        <v>þ</v>
      </c>
      <c r="C67" s="997" t="s">
        <v>231</v>
      </c>
      <c r="D67" s="997"/>
      <c r="E67" s="998"/>
      <c r="F67" s="658"/>
    </row>
    <row r="68" spans="1:6" ht="180.75" customHeight="1">
      <c r="A68" s="77">
        <v>1</v>
      </c>
      <c r="B68" s="667"/>
      <c r="C68" s="999" t="s">
        <v>792</v>
      </c>
      <c r="D68" s="1081"/>
      <c r="E68" s="1078"/>
      <c r="F68" s="663" t="s">
        <v>791</v>
      </c>
    </row>
    <row r="69" spans="1:6" ht="45" customHeight="1">
      <c r="A69" s="77"/>
      <c r="B69" s="651" t="str">
        <f>IF(ISBLANK(A70),$A$5,IF(AND(A70=1,A68=1),$A$1,IF(A70=0,#REF!,$A$5)))</f>
        <v>þ</v>
      </c>
      <c r="C69" s="1002" t="s">
        <v>232</v>
      </c>
      <c r="D69" s="1002"/>
      <c r="E69" s="1003"/>
      <c r="F69" s="662"/>
    </row>
    <row r="70" spans="1:6" ht="133.5" customHeight="1">
      <c r="A70" s="77">
        <v>1</v>
      </c>
      <c r="B70" s="667"/>
      <c r="C70" s="1000" t="s">
        <v>230</v>
      </c>
      <c r="D70" s="1000"/>
      <c r="E70" s="1001"/>
      <c r="F70" s="916" t="s">
        <v>977</v>
      </c>
    </row>
    <row r="71" spans="1:6" ht="46.5" customHeight="1">
      <c r="A71" s="77"/>
      <c r="B71" s="651" t="str">
        <f>IF(ISBLANK(A72),$A$5,IF(AND(A72=1,A70=1,A68=1),$A$1,IF(A72=0,#REF!,$A$5)))</f>
        <v>þ</v>
      </c>
      <c r="C71" s="1002" t="s">
        <v>233</v>
      </c>
      <c r="D71" s="1002"/>
      <c r="E71" s="1003"/>
      <c r="F71" s="662"/>
    </row>
    <row r="72" spans="1:6" ht="158.25" customHeight="1">
      <c r="A72" s="77">
        <v>1</v>
      </c>
      <c r="B72" s="668"/>
      <c r="C72" s="1005" t="s">
        <v>917</v>
      </c>
      <c r="D72" s="1006"/>
      <c r="E72" s="1007"/>
      <c r="F72" s="631" t="s">
        <v>978</v>
      </c>
    </row>
    <row r="73" spans="1:6" ht="24" customHeight="1">
      <c r="B73" s="623"/>
      <c r="C73" s="995" t="s">
        <v>744</v>
      </c>
      <c r="D73" s="995"/>
      <c r="E73" s="996"/>
      <c r="F73" s="624" t="s">
        <v>528</v>
      </c>
    </row>
    <row r="74" spans="1:6" ht="48.75" customHeight="1">
      <c r="A74" s="77"/>
      <c r="B74" s="651" t="str">
        <f>IF(ISBLANK(A75),$A$5,IF(AND(A75=1,A72=1,A70=1,A68=1),$A$1,IF(A75=0,#REF!,$A$5)))</f>
        <v>þ</v>
      </c>
      <c r="C74" s="1002" t="s">
        <v>550</v>
      </c>
      <c r="D74" s="1002"/>
      <c r="E74" s="1003"/>
      <c r="F74" s="663"/>
    </row>
    <row r="75" spans="1:6" ht="228.75" customHeight="1">
      <c r="A75" s="77">
        <v>1</v>
      </c>
      <c r="B75" s="667"/>
      <c r="C75" s="999" t="s">
        <v>980</v>
      </c>
      <c r="D75" s="1000"/>
      <c r="E75" s="1001"/>
      <c r="F75" s="916" t="s">
        <v>979</v>
      </c>
    </row>
    <row r="76" spans="1:6" ht="48.75" customHeight="1">
      <c r="A76" s="77"/>
      <c r="B76" s="651" t="str">
        <f>IF(ISBLANK(A77),$A$5,IF(AND(A77=1,A75=1,A72=1,A70=1,A68=1),$A$1,IF(A77=0,#REF!,$A$5)))</f>
        <v>þ</v>
      </c>
      <c r="C76" s="1002" t="s">
        <v>551</v>
      </c>
      <c r="D76" s="1002"/>
      <c r="E76" s="1003"/>
      <c r="F76" s="662"/>
    </row>
    <row r="77" spans="1:6" ht="72.75" customHeight="1">
      <c r="A77" s="77">
        <v>1</v>
      </c>
      <c r="B77" s="667"/>
      <c r="C77" s="1000" t="s">
        <v>765</v>
      </c>
      <c r="D77" s="1000"/>
      <c r="E77" s="1001"/>
      <c r="F77" s="661" t="s">
        <v>793</v>
      </c>
    </row>
    <row r="78" spans="1:6" ht="49.5" customHeight="1">
      <c r="A78" s="77"/>
      <c r="B78" s="651" t="str">
        <f>IF(ISBLANK(A79),$A$5,IF(AND(A79=1,A77=1,A75=1,A72=1,A70=1,A68=1),$A$1,IF(A79=0,#REF!,$A$5)))</f>
        <v>þ</v>
      </c>
      <c r="C78" s="1002" t="s">
        <v>234</v>
      </c>
      <c r="D78" s="1002"/>
      <c r="E78" s="1003"/>
      <c r="F78" s="661"/>
    </row>
    <row r="79" spans="1:6" ht="159" customHeight="1">
      <c r="A79" s="77">
        <v>1</v>
      </c>
      <c r="B79" s="668"/>
      <c r="C79" s="1006" t="s">
        <v>401</v>
      </c>
      <c r="D79" s="1006"/>
      <c r="E79" s="1007"/>
      <c r="F79" s="764" t="s">
        <v>981</v>
      </c>
    </row>
    <row r="80" spans="1:6" ht="24" customHeight="1">
      <c r="B80" s="623"/>
      <c r="C80" s="995" t="s">
        <v>744</v>
      </c>
      <c r="D80" s="995"/>
      <c r="E80" s="996"/>
      <c r="F80" s="624" t="s">
        <v>528</v>
      </c>
    </row>
    <row r="81" spans="1:6" ht="46.5" customHeight="1">
      <c r="A81" s="77"/>
      <c r="B81" s="651" t="str">
        <f>IF(ISBLANK(A82),$A$5,IF(AND(A82=1,A79=1,A77=1,A75=1,A72=1,A70=1,A68=1),$A$1,IF(A82=0,#REF!,$A$5)))</f>
        <v>þ</v>
      </c>
      <c r="C81" s="1002" t="s">
        <v>235</v>
      </c>
      <c r="D81" s="1002"/>
      <c r="E81" s="1003"/>
      <c r="F81" s="662"/>
    </row>
    <row r="82" spans="1:6" ht="341.25" customHeight="1">
      <c r="A82" s="77">
        <v>1</v>
      </c>
      <c r="B82" s="668"/>
      <c r="C82" s="1006" t="s">
        <v>279</v>
      </c>
      <c r="D82" s="1006"/>
      <c r="E82" s="1007"/>
      <c r="F82" s="631" t="s">
        <v>982</v>
      </c>
    </row>
    <row r="83" spans="1:6" ht="21.75">
      <c r="B83" s="573"/>
      <c r="C83" s="574"/>
      <c r="D83" s="574"/>
      <c r="E83" s="574"/>
      <c r="F83" s="574"/>
    </row>
    <row r="84" spans="1:6" ht="44.25" customHeight="1">
      <c r="B84" s="573"/>
      <c r="C84" s="1023" t="s">
        <v>536</v>
      </c>
      <c r="D84" s="1023"/>
      <c r="E84" s="1023"/>
      <c r="F84" s="1023"/>
    </row>
    <row r="85" spans="1:6" ht="23.25">
      <c r="B85" s="647"/>
      <c r="C85" s="618" t="s">
        <v>336</v>
      </c>
      <c r="D85" s="619" t="s">
        <v>525</v>
      </c>
      <c r="E85" s="619" t="s">
        <v>526</v>
      </c>
      <c r="F85" s="619" t="s">
        <v>531</v>
      </c>
    </row>
    <row r="86" spans="1:6" ht="65.25">
      <c r="B86" s="647"/>
      <c r="C86" s="528" t="s">
        <v>568</v>
      </c>
      <c r="D86" s="648" t="s">
        <v>47</v>
      </c>
      <c r="E86" s="769" t="str">
        <f>CONCATENATE("ระดับ ",COUNTIF(B89:B98,$A$1))</f>
        <v>ระดับ 5</v>
      </c>
      <c r="F86" s="769">
        <v>3</v>
      </c>
    </row>
    <row r="87" spans="1:6" ht="10.5" customHeight="1">
      <c r="B87" s="622"/>
      <c r="C87" s="1"/>
      <c r="D87" s="1"/>
      <c r="E87" s="1"/>
      <c r="F87" s="1"/>
    </row>
    <row r="88" spans="1:6" ht="24" customHeight="1">
      <c r="B88" s="623"/>
      <c r="C88" s="995" t="s">
        <v>744</v>
      </c>
      <c r="D88" s="995"/>
      <c r="E88" s="996"/>
      <c r="F88" s="624" t="s">
        <v>528</v>
      </c>
    </row>
    <row r="89" spans="1:6" ht="46.5" customHeight="1">
      <c r="B89" s="651" t="str">
        <f>IF(ISBLANK(A90),$A$5,IF(A90=1,$A$1,IF(A90=0,#REF!,$A$5)))</f>
        <v>þ</v>
      </c>
      <c r="C89" s="997" t="s">
        <v>236</v>
      </c>
      <c r="D89" s="997"/>
      <c r="E89" s="998"/>
      <c r="F89" s="658"/>
    </row>
    <row r="90" spans="1:6" ht="65.25" customHeight="1">
      <c r="A90" s="77">
        <v>1</v>
      </c>
      <c r="B90" s="667"/>
      <c r="C90" s="1000" t="s">
        <v>139</v>
      </c>
      <c r="D90" s="1000"/>
      <c r="E90" s="1001"/>
      <c r="F90" s="917" t="s">
        <v>983</v>
      </c>
    </row>
    <row r="91" spans="1:6" ht="49.5" customHeight="1">
      <c r="A91" s="77"/>
      <c r="B91" s="651" t="str">
        <f>IF(ISBLANK(A92),$A$5,IF(AND(A92=1,A90=1),$A$1,IF(A92=0,#REF!,$A$5)))</f>
        <v>þ</v>
      </c>
      <c r="C91" s="1002" t="s">
        <v>237</v>
      </c>
      <c r="D91" s="1002"/>
      <c r="E91" s="1003"/>
      <c r="F91" s="663"/>
    </row>
    <row r="92" spans="1:6" ht="91.5" customHeight="1">
      <c r="A92" s="77">
        <v>1</v>
      </c>
      <c r="B92" s="667"/>
      <c r="C92" s="1000" t="s">
        <v>766</v>
      </c>
      <c r="D92" s="1000"/>
      <c r="E92" s="1001"/>
      <c r="F92" s="663" t="s">
        <v>794</v>
      </c>
    </row>
    <row r="93" spans="1:6" ht="48.75" customHeight="1">
      <c r="A93" s="77"/>
      <c r="B93" s="651" t="str">
        <f>IF(ISBLANK(A94),$A$5,IF(AND(A94=1,A92=1,A90=1),$A$1,IF(A94=0,#REF!,$A$5)))</f>
        <v>þ</v>
      </c>
      <c r="C93" s="1002" t="s">
        <v>238</v>
      </c>
      <c r="D93" s="1002"/>
      <c r="E93" s="1003"/>
      <c r="F93" s="662"/>
    </row>
    <row r="94" spans="1:6" ht="158.25" customHeight="1">
      <c r="A94" s="77">
        <v>1</v>
      </c>
      <c r="B94" s="667"/>
      <c r="C94" s="999" t="s">
        <v>1042</v>
      </c>
      <c r="D94" s="1000"/>
      <c r="E94" s="1001"/>
      <c r="F94" s="663" t="s">
        <v>795</v>
      </c>
    </row>
    <row r="95" spans="1:6" ht="47.25" customHeight="1">
      <c r="A95" s="77"/>
      <c r="B95" s="651" t="str">
        <f>IF(ISBLANK(A96),$A$5,IF(AND(A96=1,A94=1,A92=1,A90=1),$A$1,IF(A96=0,#REF!,$A$5)))</f>
        <v>þ</v>
      </c>
      <c r="C95" s="1002" t="s">
        <v>239</v>
      </c>
      <c r="D95" s="1002"/>
      <c r="E95" s="1003"/>
      <c r="F95" s="663"/>
    </row>
    <row r="96" spans="1:6" ht="109.5" customHeight="1">
      <c r="A96" s="77">
        <v>1</v>
      </c>
      <c r="B96" s="668"/>
      <c r="C96" s="1006" t="s">
        <v>767</v>
      </c>
      <c r="D96" s="1006"/>
      <c r="E96" s="1007"/>
      <c r="F96" s="631" t="s">
        <v>140</v>
      </c>
    </row>
    <row r="97" spans="1:7" ht="24" customHeight="1">
      <c r="B97" s="623"/>
      <c r="C97" s="995" t="s">
        <v>744</v>
      </c>
      <c r="D97" s="995"/>
      <c r="E97" s="996"/>
      <c r="F97" s="624" t="s">
        <v>528</v>
      </c>
    </row>
    <row r="98" spans="1:7" ht="47.25" customHeight="1">
      <c r="A98" s="77"/>
      <c r="B98" s="626" t="str">
        <f>IF(ISBLANK(A99),$A$5,IF(AND(A99=1,A96=1,A94=1,A92=1,A90=1),$A$1,IF(A99=0,#REF!,$A$5)))</f>
        <v>þ</v>
      </c>
      <c r="C98" s="1002" t="s">
        <v>240</v>
      </c>
      <c r="D98" s="1002"/>
      <c r="E98" s="1003"/>
      <c r="F98" s="663"/>
    </row>
    <row r="99" spans="1:7" ht="117.75" customHeight="1">
      <c r="A99" s="77">
        <v>1</v>
      </c>
      <c r="B99" s="668"/>
      <c r="C99" s="1005" t="s">
        <v>918</v>
      </c>
      <c r="D99" s="1006"/>
      <c r="E99" s="1007"/>
      <c r="F99" s="631" t="s">
        <v>886</v>
      </c>
    </row>
    <row r="101" spans="1:7" ht="23.25">
      <c r="B101" s="573"/>
      <c r="C101" s="1004" t="s">
        <v>569</v>
      </c>
      <c r="D101" s="1004"/>
      <c r="E101" s="1004"/>
      <c r="F101" s="1004"/>
      <c r="G101" s="27"/>
    </row>
    <row r="102" spans="1:7" ht="23.25">
      <c r="B102" s="647"/>
      <c r="C102" s="618" t="s">
        <v>336</v>
      </c>
      <c r="D102" s="619" t="s">
        <v>525</v>
      </c>
      <c r="E102" s="619" t="s">
        <v>526</v>
      </c>
      <c r="F102" s="619" t="s">
        <v>531</v>
      </c>
    </row>
    <row r="103" spans="1:7" ht="63" customHeight="1">
      <c r="B103" s="647"/>
      <c r="C103" s="528" t="s">
        <v>280</v>
      </c>
      <c r="D103" s="669" t="s">
        <v>758</v>
      </c>
      <c r="E103" s="670" t="s">
        <v>758</v>
      </c>
      <c r="F103" s="671">
        <v>0</v>
      </c>
    </row>
    <row r="104" spans="1:7" ht="10.5" customHeight="1">
      <c r="B104" s="622"/>
      <c r="C104" s="1"/>
      <c r="D104" s="1"/>
      <c r="E104" s="1"/>
      <c r="F104" s="1"/>
    </row>
    <row r="105" spans="1:7" ht="23.25">
      <c r="B105" s="647"/>
      <c r="C105" s="635" t="s">
        <v>106</v>
      </c>
      <c r="D105" s="1027" t="s">
        <v>528</v>
      </c>
      <c r="E105" s="1028"/>
      <c r="F105" s="1029"/>
    </row>
    <row r="106" spans="1:7">
      <c r="B106" s="626"/>
      <c r="C106" s="803" t="s">
        <v>919</v>
      </c>
      <c r="D106" s="1082" t="s">
        <v>281</v>
      </c>
      <c r="E106" s="1044"/>
      <c r="F106" s="1045"/>
    </row>
    <row r="107" spans="1:7">
      <c r="B107" s="651"/>
      <c r="C107" s="581" t="s">
        <v>282</v>
      </c>
      <c r="D107" s="1046"/>
      <c r="E107" s="1000"/>
      <c r="F107" s="1001"/>
    </row>
    <row r="108" spans="1:7" ht="22.5">
      <c r="B108" s="651"/>
      <c r="C108" s="672">
        <f>0</f>
        <v>0</v>
      </c>
      <c r="D108" s="1046"/>
      <c r="E108" s="1000"/>
      <c r="F108" s="1001"/>
    </row>
    <row r="109" spans="1:7" ht="22.5">
      <c r="B109" s="651"/>
      <c r="C109" s="655">
        <v>12</v>
      </c>
      <c r="D109" s="1046"/>
      <c r="E109" s="1000"/>
      <c r="F109" s="1001"/>
    </row>
    <row r="110" spans="1:7" ht="22.5">
      <c r="B110" s="629"/>
      <c r="C110" s="673">
        <f>(C108/C109)*100</f>
        <v>0</v>
      </c>
      <c r="D110" s="1047"/>
      <c r="E110" s="1006"/>
      <c r="F110" s="1007"/>
    </row>
    <row r="111" spans="1:7">
      <c r="C111" s="23"/>
      <c r="D111" s="22"/>
      <c r="E111" s="22"/>
      <c r="F111" s="22"/>
    </row>
    <row r="112" spans="1:7" ht="23.25">
      <c r="B112" s="573"/>
      <c r="C112" s="612" t="s">
        <v>98</v>
      </c>
      <c r="D112" s="577"/>
      <c r="E112" s="577"/>
      <c r="F112" s="577"/>
    </row>
    <row r="113" spans="2:6" ht="23.25">
      <c r="B113" s="647"/>
      <c r="C113" s="618" t="s">
        <v>336</v>
      </c>
      <c r="D113" s="619" t="s">
        <v>525</v>
      </c>
      <c r="E113" s="619" t="s">
        <v>526</v>
      </c>
      <c r="F113" s="619" t="s">
        <v>531</v>
      </c>
    </row>
    <row r="114" spans="2:6" ht="240" customHeight="1">
      <c r="B114" s="647"/>
      <c r="C114" s="528" t="s">
        <v>739</v>
      </c>
      <c r="D114" s="674" t="s">
        <v>759</v>
      </c>
      <c r="E114" s="675" t="str">
        <f>CONCATENATE("  เอก ร้อยละ ", TEXT(val2.5.1, "0.00"),
 "           โท ร้อยละ ", TEXT(val2.5.2, "0.00"),
 "            ตรี ร้อยละ ", TEXT(val2.5.3, "0.00"))</f>
        <v xml:space="preserve">  เอก ร้อยละ 18.86           โท ร้อยละ 74.56            ตรี ร้อยละ 6.58</v>
      </c>
      <c r="F114" s="650">
        <f>IF(val2.5.1&lt;1,0,IF(OR(val2.5.1&lt;20,AND(val2.5.1&gt;=20,val2.5.1&lt;30,val2.5.3&gt;5)),1,IF(OR(AND(val2.5.1&gt;=20,val2.5.1&lt;30,val2.5.3&lt;=5),AND(val2.5.1&gt;=30,val2.5.3&gt;5)),2,IF(AND(val2.5.1&gt;=30,val2.5.3&lt;=5),3,"ข้อมูลไม่ถูกต้อง"))))</f>
        <v>1</v>
      </c>
    </row>
    <row r="115" spans="2:6" ht="10.5" customHeight="1">
      <c r="B115" s="622"/>
      <c r="C115" s="1"/>
      <c r="D115" s="1"/>
      <c r="E115" s="1"/>
      <c r="F115" s="1"/>
    </row>
    <row r="116" spans="2:6" ht="23.25">
      <c r="B116" s="647"/>
      <c r="C116" s="635" t="s">
        <v>106</v>
      </c>
      <c r="D116" s="1027" t="s">
        <v>528</v>
      </c>
      <c r="E116" s="1028"/>
      <c r="F116" s="1029"/>
    </row>
    <row r="117" spans="2:6" ht="22.5">
      <c r="B117" s="651"/>
      <c r="C117" s="676" t="s">
        <v>796</v>
      </c>
      <c r="D117" s="1043" t="s">
        <v>191</v>
      </c>
      <c r="E117" s="1044"/>
      <c r="F117" s="1045"/>
    </row>
    <row r="118" spans="2:6" ht="22.5">
      <c r="B118" s="651"/>
      <c r="C118" s="681">
        <f>data1_2.15</f>
        <v>106</v>
      </c>
      <c r="D118" s="1046"/>
      <c r="E118" s="1000"/>
      <c r="F118" s="1001"/>
    </row>
    <row r="119" spans="2:6" ht="22.5">
      <c r="B119" s="651"/>
      <c r="C119" s="681">
        <f>data1_2.14</f>
        <v>419</v>
      </c>
      <c r="D119" s="1046"/>
      <c r="E119" s="1000"/>
      <c r="F119" s="1001"/>
    </row>
    <row r="120" spans="2:6" ht="20.25" customHeight="1">
      <c r="B120" s="651"/>
      <c r="C120" s="681">
        <f>data1_2.13</f>
        <v>37</v>
      </c>
      <c r="D120" s="1046"/>
      <c r="E120" s="1000"/>
      <c r="F120" s="1001"/>
    </row>
    <row r="121" spans="2:6" ht="41.25" customHeight="1">
      <c r="B121" s="651"/>
      <c r="C121" s="676" t="s">
        <v>797</v>
      </c>
      <c r="D121" s="1046"/>
      <c r="E121" s="1000"/>
      <c r="F121" s="1001"/>
    </row>
    <row r="122" spans="2:6" ht="22.5">
      <c r="B122" s="651"/>
      <c r="C122" s="677">
        <f>ROUND(data1_2.15*100/data1_2.10,2)</f>
        <v>18.86</v>
      </c>
      <c r="D122" s="1046"/>
      <c r="E122" s="1000"/>
      <c r="F122" s="1001"/>
    </row>
    <row r="123" spans="2:6" ht="22.5">
      <c r="B123" s="651"/>
      <c r="C123" s="677">
        <f>ROUND(data1_2.14*100/data1_2.10,2)</f>
        <v>74.56</v>
      </c>
      <c r="D123" s="1046"/>
      <c r="E123" s="1000"/>
      <c r="F123" s="1001"/>
    </row>
    <row r="124" spans="2:6" ht="22.5">
      <c r="B124" s="629"/>
      <c r="C124" s="678">
        <f>ROUND(data1_2.13*100/data1_2.10,2)</f>
        <v>6.58</v>
      </c>
      <c r="D124" s="1047"/>
      <c r="E124" s="1006"/>
      <c r="F124" s="1007"/>
    </row>
    <row r="125" spans="2:6">
      <c r="C125" s="22"/>
      <c r="D125" s="22"/>
      <c r="E125" s="22"/>
      <c r="F125" s="22"/>
    </row>
    <row r="126" spans="2:6" ht="44.25" customHeight="1">
      <c r="B126" s="573"/>
      <c r="C126" s="1079" t="s">
        <v>742</v>
      </c>
      <c r="D126" s="1080"/>
      <c r="E126" s="1080"/>
      <c r="F126" s="1080"/>
    </row>
    <row r="127" spans="2:6" ht="23.25">
      <c r="B127" s="647"/>
      <c r="C127" s="618" t="s">
        <v>336</v>
      </c>
      <c r="D127" s="619" t="s">
        <v>525</v>
      </c>
      <c r="E127" s="619" t="s">
        <v>526</v>
      </c>
      <c r="F127" s="619" t="s">
        <v>531</v>
      </c>
    </row>
    <row r="128" spans="2:6" ht="392.25" customHeight="1">
      <c r="B128" s="647"/>
      <c r="C128" s="528" t="s">
        <v>403</v>
      </c>
      <c r="D128" s="669" t="s">
        <v>760</v>
      </c>
      <c r="E128" s="989" t="s">
        <v>1043</v>
      </c>
      <c r="F128" s="650">
        <f>IF(SUM(val2.6.1,val2.6.2,val2.6.3)&lt;1,0,IF(OR(AND(SUM(val2.6.1,val2.6.2,val2.6.3)&gt;=1,SUM(val2.6.1,val2.6.2,val2.6.3)&lt;40),AND(SUM(val2.6.1,val2.6.2,val2.6.3)&gt;=40,SUM(val2.6.1,val2.6.2,val2.6.3)&lt;60,SUM(val2.6.1,val2.6.2)&lt;10)),1,IF(OR(AND(SUM(val2.6.1,val2.6.2,val2.6.3)&gt;=40,SUM(val2.6.1,val2.6.2,val2.6.3)&lt;60,SUM(val2.6.1,val2.6.2)&gt;=10),AND(SUM(val2.6.1,val2.6.2,val2.6.3)&gt;=60,SUM(val2.6.1,val2.6.2)&lt;10)),2,IF(AND(SUM(val2.6.1,val2.6.2,val2.6.3)&gt;=60,SUM(val2.6.1,val2.6.2)&gt;=10),3,"ข้อมูลไม่ถูกต้อง"))))</f>
        <v>1</v>
      </c>
    </row>
    <row r="129" spans="2:6" ht="10.5" customHeight="1">
      <c r="B129" s="680"/>
      <c r="C129" s="1"/>
      <c r="D129" s="1"/>
      <c r="E129" s="1"/>
      <c r="F129" s="1"/>
    </row>
    <row r="130" spans="2:6" ht="23.25">
      <c r="B130" s="647"/>
      <c r="C130" s="635" t="s">
        <v>106</v>
      </c>
      <c r="D130" s="1027" t="s">
        <v>528</v>
      </c>
      <c r="E130" s="1028"/>
      <c r="F130" s="1029"/>
    </row>
    <row r="131" spans="2:6" ht="45">
      <c r="B131" s="651"/>
      <c r="C131" s="676" t="s">
        <v>740</v>
      </c>
      <c r="D131" s="1043" t="s">
        <v>191</v>
      </c>
      <c r="E131" s="1044"/>
      <c r="F131" s="1045"/>
    </row>
    <row r="132" spans="2:6" ht="22.5">
      <c r="B132" s="651"/>
      <c r="C132" s="681">
        <f>data1_2.19</f>
        <v>6</v>
      </c>
      <c r="D132" s="1046"/>
      <c r="E132" s="1000"/>
      <c r="F132" s="1001"/>
    </row>
    <row r="133" spans="2:6" ht="20.25" customHeight="1">
      <c r="B133" s="651"/>
      <c r="C133" s="681">
        <f>data1_2.18</f>
        <v>22</v>
      </c>
      <c r="D133" s="1046"/>
      <c r="E133" s="1000"/>
      <c r="F133" s="1001"/>
    </row>
    <row r="134" spans="2:6" ht="19.5" customHeight="1">
      <c r="B134" s="651"/>
      <c r="C134" s="681">
        <f>data1_2.17</f>
        <v>70</v>
      </c>
      <c r="D134" s="1046"/>
      <c r="E134" s="1000"/>
      <c r="F134" s="1001"/>
    </row>
    <row r="135" spans="2:6" ht="20.25" customHeight="1">
      <c r="B135" s="651"/>
      <c r="C135" s="681">
        <f>data1_2.16</f>
        <v>464</v>
      </c>
      <c r="D135" s="1046"/>
      <c r="E135" s="1000"/>
      <c r="F135" s="1001"/>
    </row>
    <row r="136" spans="2:6" ht="45">
      <c r="B136" s="651"/>
      <c r="C136" s="676" t="s">
        <v>741</v>
      </c>
      <c r="D136" s="1046"/>
      <c r="E136" s="1000"/>
      <c r="F136" s="1001"/>
    </row>
    <row r="137" spans="2:6" ht="22.5">
      <c r="B137" s="651"/>
      <c r="C137" s="677">
        <f>ROUND(data1_2.19*100/data1_2.10,2)</f>
        <v>1.07</v>
      </c>
      <c r="D137" s="1046"/>
      <c r="E137" s="1000"/>
      <c r="F137" s="1001"/>
    </row>
    <row r="138" spans="2:6" ht="22.5">
      <c r="B138" s="651"/>
      <c r="C138" s="677">
        <f>ROUND(data1_2.18*100/data1_2.10,2)</f>
        <v>3.91</v>
      </c>
      <c r="D138" s="1046"/>
      <c r="E138" s="1000"/>
      <c r="F138" s="1001"/>
    </row>
    <row r="139" spans="2:6" ht="22.5">
      <c r="B139" s="651"/>
      <c r="C139" s="677">
        <f>ROUND(data1_2.17*100/data1_2.10,2)</f>
        <v>12.46</v>
      </c>
      <c r="D139" s="1046"/>
      <c r="E139" s="1000"/>
      <c r="F139" s="1001"/>
    </row>
    <row r="140" spans="2:6" ht="22.5">
      <c r="B140" s="629"/>
      <c r="C140" s="678">
        <f>ROUND(data1_2.16*100/data1_2.10,2)</f>
        <v>82.56</v>
      </c>
      <c r="D140" s="1047"/>
      <c r="E140" s="1006"/>
      <c r="F140" s="1007"/>
    </row>
    <row r="141" spans="2:6" ht="21.75">
      <c r="B141" s="573"/>
      <c r="C141" s="574"/>
      <c r="D141" s="574"/>
      <c r="E141" s="574"/>
      <c r="F141" s="574"/>
    </row>
    <row r="142" spans="2:6" ht="21" customHeight="1">
      <c r="B142" s="573"/>
      <c r="C142" s="1023" t="s">
        <v>743</v>
      </c>
      <c r="D142" s="1023"/>
      <c r="E142" s="1023"/>
      <c r="F142" s="1023"/>
    </row>
    <row r="143" spans="2:6" ht="23.25">
      <c r="B143" s="647"/>
      <c r="C143" s="618" t="s">
        <v>336</v>
      </c>
      <c r="D143" s="619" t="s">
        <v>525</v>
      </c>
      <c r="E143" s="619" t="s">
        <v>526</v>
      </c>
      <c r="F143" s="619" t="s">
        <v>531</v>
      </c>
    </row>
    <row r="144" spans="2:6" ht="61.5" customHeight="1">
      <c r="B144" s="647"/>
      <c r="C144" s="528" t="s">
        <v>32</v>
      </c>
      <c r="D144" s="648" t="s">
        <v>47</v>
      </c>
      <c r="E144" s="769" t="str">
        <f>CONCATENATE("ระดับ ",COUNTIF(B147:B158,$A$1))</f>
        <v>ระดับ 5</v>
      </c>
      <c r="F144" s="769">
        <v>3</v>
      </c>
    </row>
    <row r="145" spans="1:6" ht="10.5" customHeight="1">
      <c r="B145" s="622"/>
      <c r="C145" s="1"/>
      <c r="D145" s="1"/>
      <c r="E145" s="1"/>
      <c r="F145" s="1"/>
    </row>
    <row r="146" spans="1:6" ht="24" customHeight="1">
      <c r="B146" s="623"/>
      <c r="C146" s="995" t="s">
        <v>744</v>
      </c>
      <c r="D146" s="995"/>
      <c r="E146" s="996"/>
      <c r="F146" s="624" t="s">
        <v>528</v>
      </c>
    </row>
    <row r="147" spans="1:6" ht="22.5" customHeight="1">
      <c r="B147" s="651" t="str">
        <f>IF(ISBLANK(A148),$A$5,IF(A148=1,$A$1,IF(A148=0,#REF!,$A$5)))</f>
        <v>þ</v>
      </c>
      <c r="C147" s="997" t="s">
        <v>241</v>
      </c>
      <c r="D147" s="997"/>
      <c r="E147" s="998"/>
      <c r="F147" s="658"/>
    </row>
    <row r="148" spans="1:6" ht="86.25" customHeight="1">
      <c r="A148" s="77">
        <v>1</v>
      </c>
      <c r="B148" s="667"/>
      <c r="C148" s="1000" t="s">
        <v>455</v>
      </c>
      <c r="D148" s="1000"/>
      <c r="E148" s="1001"/>
      <c r="F148" s="662" t="s">
        <v>456</v>
      </c>
    </row>
    <row r="149" spans="1:6" ht="24" customHeight="1">
      <c r="A149" s="77"/>
      <c r="B149" s="651" t="str">
        <f>IF(ISBLANK(A150),$A$5,IF(AND(A150=1,A148=1),$A$1,IF(A150=0,#REF!,$A$5)))</f>
        <v>þ</v>
      </c>
      <c r="C149" s="1002" t="s">
        <v>242</v>
      </c>
      <c r="D149" s="1002"/>
      <c r="E149" s="1003"/>
      <c r="F149" s="662"/>
    </row>
    <row r="150" spans="1:6" ht="225.75" customHeight="1">
      <c r="A150" s="77">
        <v>1</v>
      </c>
      <c r="B150" s="667"/>
      <c r="C150" s="999" t="s">
        <v>225</v>
      </c>
      <c r="D150" s="999"/>
      <c r="E150" s="1012"/>
      <c r="F150" s="683" t="s">
        <v>224</v>
      </c>
    </row>
    <row r="151" spans="1:6" ht="24" customHeight="1">
      <c r="A151" s="77"/>
      <c r="B151" s="651" t="str">
        <f>IF(ISBLANK(A152),$A$5,IF(AND(A152=1,A150=1,A148=1),$A$1,IF(A152=0,#REF!,$A$5)))</f>
        <v>þ</v>
      </c>
      <c r="C151" s="1002" t="s">
        <v>243</v>
      </c>
      <c r="D151" s="1002"/>
      <c r="E151" s="1003"/>
      <c r="F151" s="683"/>
    </row>
    <row r="152" spans="1:6" ht="345" customHeight="1">
      <c r="A152" s="77">
        <v>1</v>
      </c>
      <c r="B152" s="668"/>
      <c r="C152" s="1006" t="s">
        <v>1070</v>
      </c>
      <c r="D152" s="1006"/>
      <c r="E152" s="1007"/>
      <c r="F152" s="631" t="s">
        <v>984</v>
      </c>
    </row>
    <row r="153" spans="1:6" ht="24" customHeight="1">
      <c r="B153" s="623"/>
      <c r="C153" s="995" t="s">
        <v>744</v>
      </c>
      <c r="D153" s="995"/>
      <c r="E153" s="996"/>
      <c r="F153" s="624" t="s">
        <v>528</v>
      </c>
    </row>
    <row r="154" spans="1:6" ht="27" customHeight="1">
      <c r="A154" s="77"/>
      <c r="B154" s="651" t="str">
        <f>IF(ISBLANK(A155),$A$5,IF(AND(A155=1,A152=1,A150=1,A148=1),$A$1,IF(A155=0,#REF!,$A$5)))</f>
        <v>þ</v>
      </c>
      <c r="C154" s="1002" t="s">
        <v>244</v>
      </c>
      <c r="D154" s="1002"/>
      <c r="E154" s="1003"/>
      <c r="F154" s="663"/>
    </row>
    <row r="155" spans="1:6" ht="135.75" customHeight="1">
      <c r="A155" s="77">
        <v>1</v>
      </c>
      <c r="B155" s="667"/>
      <c r="C155" s="999" t="s">
        <v>773</v>
      </c>
      <c r="D155" s="1000"/>
      <c r="E155" s="1001"/>
      <c r="F155" s="763" t="s">
        <v>887</v>
      </c>
    </row>
    <row r="156" spans="1:6" ht="44.25" customHeight="1">
      <c r="A156" s="77"/>
      <c r="B156" s="651" t="str">
        <f>IF(ISBLANK(A157),$A$5,IF(AND(A157=1,A155=1,A152=1,A150=1),$A$1,IF(A157=0,#REF!,$A$5)))</f>
        <v>þ</v>
      </c>
      <c r="C156" s="1002" t="s">
        <v>283</v>
      </c>
      <c r="D156" s="1002"/>
      <c r="E156" s="1003"/>
      <c r="F156" s="662"/>
    </row>
    <row r="157" spans="1:6" ht="202.5" customHeight="1">
      <c r="A157" s="578">
        <v>1</v>
      </c>
      <c r="B157" s="667"/>
      <c r="C157" s="999" t="s">
        <v>226</v>
      </c>
      <c r="D157" s="999"/>
      <c r="E157" s="1012"/>
      <c r="F157" s="916" t="s">
        <v>986</v>
      </c>
    </row>
    <row r="158" spans="1:6" ht="409.5" customHeight="1">
      <c r="A158" s="77"/>
      <c r="B158" s="629"/>
      <c r="C158" s="1005" t="s">
        <v>985</v>
      </c>
      <c r="D158" s="1005"/>
      <c r="E158" s="1011"/>
      <c r="F158" s="764" t="s">
        <v>987</v>
      </c>
    </row>
    <row r="159" spans="1:6" hidden="1"/>
    <row r="161" spans="1:6" ht="21" customHeight="1">
      <c r="B161" s="573"/>
      <c r="C161" s="1004" t="s">
        <v>261</v>
      </c>
      <c r="D161" s="1004"/>
      <c r="E161" s="1004"/>
      <c r="F161" s="1004"/>
    </row>
    <row r="162" spans="1:6" ht="23.25">
      <c r="B162" s="684"/>
      <c r="C162" s="618" t="s">
        <v>336</v>
      </c>
      <c r="D162" s="619" t="s">
        <v>525</v>
      </c>
      <c r="E162" s="619" t="s">
        <v>526</v>
      </c>
      <c r="F162" s="619" t="s">
        <v>531</v>
      </c>
    </row>
    <row r="163" spans="1:6" ht="65.25">
      <c r="B163" s="629"/>
      <c r="C163" s="528" t="s">
        <v>262</v>
      </c>
      <c r="D163" s="648" t="s">
        <v>33</v>
      </c>
      <c r="E163" s="671" t="str">
        <f>CONCATENATE(COUNTIF(A167:A176,1)," ข้อ")</f>
        <v>5 ข้อ</v>
      </c>
      <c r="F163" s="671">
        <v>3</v>
      </c>
    </row>
    <row r="164" spans="1:6" ht="10.5" customHeight="1">
      <c r="B164" s="622"/>
      <c r="C164" s="1"/>
      <c r="D164" s="1"/>
      <c r="E164" s="1"/>
      <c r="F164" s="1"/>
    </row>
    <row r="165" spans="1:6" ht="24" customHeight="1">
      <c r="B165" s="623"/>
      <c r="C165" s="995" t="s">
        <v>744</v>
      </c>
      <c r="D165" s="995"/>
      <c r="E165" s="996"/>
      <c r="F165" s="624" t="s">
        <v>528</v>
      </c>
    </row>
    <row r="166" spans="1:6" ht="44.25" customHeight="1">
      <c r="B166" s="651" t="str">
        <f>IF(ISBLANK(A167),$A$5,IF(A167=1,$A$1,IF(A167=0,#REF!,$A$5)))</f>
        <v>þ</v>
      </c>
      <c r="C166" s="997" t="s">
        <v>611</v>
      </c>
      <c r="D166" s="997"/>
      <c r="E166" s="998"/>
      <c r="F166" s="658"/>
    </row>
    <row r="167" spans="1:6" ht="154.5" customHeight="1">
      <c r="A167" s="77">
        <v>1</v>
      </c>
      <c r="B167" s="667"/>
      <c r="C167" s="999" t="s">
        <v>862</v>
      </c>
      <c r="D167" s="999"/>
      <c r="E167" s="1012"/>
      <c r="F167" s="792" t="s">
        <v>863</v>
      </c>
    </row>
    <row r="168" spans="1:6" ht="44.25" customHeight="1">
      <c r="A168" s="77"/>
      <c r="B168" s="651" t="str">
        <f>IF(ISBLANK(A169),$A$5,IF(AND(A169=1,A167=1),$A$1,IF(A169=0,#REF!,$A$5)))</f>
        <v>þ</v>
      </c>
      <c r="C168" s="1002" t="s">
        <v>274</v>
      </c>
      <c r="D168" s="1002"/>
      <c r="E168" s="1003"/>
      <c r="F168" s="665"/>
    </row>
    <row r="169" spans="1:6" ht="160.5" customHeight="1">
      <c r="A169" s="77">
        <v>1</v>
      </c>
      <c r="B169" s="667"/>
      <c r="C169" s="999" t="s">
        <v>1044</v>
      </c>
      <c r="D169" s="999"/>
      <c r="E169" s="1012"/>
      <c r="F169" s="792" t="s">
        <v>888</v>
      </c>
    </row>
    <row r="170" spans="1:6" ht="42.75" customHeight="1">
      <c r="A170" s="77"/>
      <c r="B170" s="651" t="str">
        <f>IF(ISBLANK(A171),$A$5,IF(AND(A171=1,A169=1,A167=1),$A$1,IF(A171=0,#REF!,$A$5)))</f>
        <v>þ</v>
      </c>
      <c r="C170" s="1002" t="s">
        <v>275</v>
      </c>
      <c r="D170" s="1002"/>
      <c r="E170" s="1003"/>
      <c r="F170" s="781"/>
    </row>
    <row r="171" spans="1:6" ht="185.25" customHeight="1">
      <c r="A171" s="77">
        <v>1</v>
      </c>
      <c r="B171" s="668"/>
      <c r="C171" s="1005" t="s">
        <v>889</v>
      </c>
      <c r="D171" s="1006"/>
      <c r="E171" s="1007"/>
      <c r="F171" s="631" t="s">
        <v>890</v>
      </c>
    </row>
    <row r="172" spans="1:6" ht="24" customHeight="1">
      <c r="B172" s="623"/>
      <c r="C172" s="995" t="s">
        <v>744</v>
      </c>
      <c r="D172" s="995"/>
      <c r="E172" s="996"/>
      <c r="F172" s="624" t="s">
        <v>528</v>
      </c>
    </row>
    <row r="173" spans="1:6" ht="69" customHeight="1">
      <c r="A173" s="77"/>
      <c r="B173" s="651" t="str">
        <f>IF(ISBLANK(A174),$A$5,IF(AND(A174=1,A171=1,A169=1,A167=1),$A$1,IF(A174=0,#REF!,$A$5)))</f>
        <v>þ</v>
      </c>
      <c r="C173" s="1002" t="s">
        <v>278</v>
      </c>
      <c r="D173" s="1002"/>
      <c r="E173" s="1003"/>
      <c r="F173" s="780"/>
    </row>
    <row r="174" spans="1:6" ht="47.25" customHeight="1">
      <c r="A174" s="77">
        <v>1</v>
      </c>
      <c r="B174" s="667"/>
      <c r="C174" s="999" t="s">
        <v>891</v>
      </c>
      <c r="D174" s="1048"/>
      <c r="E174" s="1049"/>
      <c r="F174" s="781" t="s">
        <v>864</v>
      </c>
    </row>
    <row r="175" spans="1:6" ht="42" customHeight="1">
      <c r="A175" s="77"/>
      <c r="B175" s="651" t="str">
        <f>IF(ISBLANK(A176),$A$5,IF(AND(A176=1,A174=1,A171=1,A169=1,A167=1),$A$1,IF(A176=0,#REF!,$A$5)))</f>
        <v>þ</v>
      </c>
      <c r="C175" s="1002" t="s">
        <v>245</v>
      </c>
      <c r="D175" s="1002"/>
      <c r="E175" s="1003"/>
      <c r="F175" s="780"/>
    </row>
    <row r="176" spans="1:6" ht="201.75" customHeight="1">
      <c r="A176" s="77">
        <v>1</v>
      </c>
      <c r="B176" s="793"/>
      <c r="C176" s="1005" t="s">
        <v>1071</v>
      </c>
      <c r="D176" s="1005"/>
      <c r="E176" s="1005"/>
      <c r="F176" s="631" t="s">
        <v>865</v>
      </c>
    </row>
    <row r="178" spans="2:6" ht="23.25">
      <c r="B178" s="573"/>
      <c r="C178" s="612" t="s">
        <v>1045</v>
      </c>
      <c r="D178" s="577"/>
      <c r="E178" s="577"/>
      <c r="F178" s="577"/>
    </row>
    <row r="179" spans="2:6" ht="23.25">
      <c r="B179" s="647"/>
      <c r="C179" s="618" t="s">
        <v>336</v>
      </c>
      <c r="D179" s="619" t="s">
        <v>525</v>
      </c>
      <c r="E179" s="619" t="s">
        <v>526</v>
      </c>
      <c r="F179" s="619" t="s">
        <v>531</v>
      </c>
    </row>
    <row r="180" spans="2:6" ht="65.25">
      <c r="B180" s="647"/>
      <c r="C180" s="528" t="s">
        <v>264</v>
      </c>
      <c r="D180" s="648" t="s">
        <v>757</v>
      </c>
      <c r="E180" s="649">
        <f>val2.9</f>
        <v>85.31</v>
      </c>
      <c r="F180" s="650">
        <f>IF(val2.9&lt;1,0,IF(AND(val2.9&gt;=1,val2.9&lt;60),1,IF(AND(val2.9&gt;=60,val2.9&lt;80),2,IF(AND(val2.9&gt;=80,val2.9&lt;=100),3,"ข้อมูลไม่ถูกต้อง"))))</f>
        <v>3</v>
      </c>
    </row>
    <row r="181" spans="2:6" ht="10.5" customHeight="1">
      <c r="B181" s="622"/>
      <c r="C181" s="1"/>
      <c r="D181" s="1"/>
      <c r="E181" s="1"/>
      <c r="F181" s="1"/>
    </row>
    <row r="182" spans="2:6" ht="23.25">
      <c r="B182" s="647"/>
      <c r="C182" s="635" t="s">
        <v>106</v>
      </c>
      <c r="D182" s="1027" t="s">
        <v>528</v>
      </c>
      <c r="E182" s="1028"/>
      <c r="F182" s="1029"/>
    </row>
    <row r="183" spans="2:6">
      <c r="B183" s="651"/>
      <c r="C183" s="580" t="s">
        <v>798</v>
      </c>
      <c r="D183" s="1043" t="s">
        <v>799</v>
      </c>
      <c r="E183" s="1044"/>
      <c r="F183" s="1045"/>
    </row>
    <row r="184" spans="2:6" ht="19.5" customHeight="1">
      <c r="B184" s="651"/>
      <c r="C184" s="579" t="s">
        <v>920</v>
      </c>
      <c r="D184" s="1046"/>
      <c r="E184" s="1000"/>
      <c r="F184" s="1001"/>
    </row>
    <row r="185" spans="2:6" ht="19.5" customHeight="1">
      <c r="B185" s="651"/>
      <c r="C185" s="676" t="str">
        <f>CONCATENATE("บัณฑิตที่มีงานทำ = ",data1_2.32," คน")</f>
        <v>บัณฑิตที่มีงานทำ = 2096 คน</v>
      </c>
      <c r="D185" s="1046"/>
      <c r="E185" s="1000"/>
      <c r="F185" s="1001"/>
    </row>
    <row r="186" spans="2:6" ht="20.25" customHeight="1">
      <c r="B186" s="651"/>
      <c r="C186" s="676" t="str">
        <f>CONCATENATE("บัณฑิตที่ตอบแบบสำรวจ = ",data1_2.29," คน")</f>
        <v>บัณฑิตที่ตอบแบบสำรวจ = 2606 คน</v>
      </c>
      <c r="D186" s="1046"/>
      <c r="E186" s="1000"/>
      <c r="F186" s="1001"/>
    </row>
    <row r="187" spans="2:6" ht="20.25" customHeight="1">
      <c r="B187" s="651"/>
      <c r="C187" s="676" t="str">
        <f>CONCATENATE("บัณฑิตที่ศึกษาต่อ = ",data1_2.31," คน")</f>
        <v>บัณฑิตที่ศึกษาต่อ = 149 คน</v>
      </c>
      <c r="D187" s="1046"/>
      <c r="E187" s="1000"/>
      <c r="F187" s="1001"/>
    </row>
    <row r="188" spans="2:6" ht="22.5">
      <c r="B188" s="629"/>
      <c r="C188" s="685">
        <f>ROUND(data1_2.32*100/(data1_2.29-data1_2.31),2)</f>
        <v>85.31</v>
      </c>
      <c r="D188" s="1047"/>
      <c r="E188" s="1006"/>
      <c r="F188" s="1007"/>
    </row>
    <row r="190" spans="2:6" ht="23.25">
      <c r="B190" s="573"/>
      <c r="C190" s="613" t="s">
        <v>265</v>
      </c>
      <c r="D190" s="574"/>
      <c r="E190" s="574"/>
      <c r="F190" s="574"/>
    </row>
    <row r="191" spans="2:6" ht="23.25">
      <c r="B191" s="647"/>
      <c r="C191" s="618" t="s">
        <v>336</v>
      </c>
      <c r="D191" s="619" t="s">
        <v>525</v>
      </c>
      <c r="E191" s="619" t="s">
        <v>526</v>
      </c>
      <c r="F191" s="619" t="s">
        <v>531</v>
      </c>
    </row>
    <row r="192" spans="2:6" ht="130.5">
      <c r="B192" s="647"/>
      <c r="C192" s="528" t="s">
        <v>266</v>
      </c>
      <c r="D192" s="648" t="s">
        <v>34</v>
      </c>
      <c r="E192" s="649">
        <f>C199</f>
        <v>88.12</v>
      </c>
      <c r="F192" s="650">
        <f>IF(C199&lt;1,0,IF(AND(C199&gt;=1,C199&lt;75),1,IF(AND(C199&gt;=75,C199&lt;100),2,IF(AND(C199&gt;=100,C199&lt;=100),3,"ข้อมูลไม่ถูกต้อง"))))</f>
        <v>2</v>
      </c>
    </row>
    <row r="193" spans="2:6" ht="10.5" customHeight="1">
      <c r="B193" s="622"/>
      <c r="C193" s="1"/>
      <c r="D193" s="1"/>
      <c r="E193" s="1"/>
      <c r="F193" s="1"/>
    </row>
    <row r="194" spans="2:6" ht="23.25">
      <c r="B194" s="647"/>
      <c r="C194" s="635" t="s">
        <v>106</v>
      </c>
      <c r="D194" s="1027" t="s">
        <v>528</v>
      </c>
      <c r="E194" s="1028"/>
      <c r="F194" s="1029"/>
    </row>
    <row r="195" spans="2:6" ht="18.75" customHeight="1">
      <c r="B195" s="651"/>
      <c r="C195" s="770" t="s">
        <v>921</v>
      </c>
      <c r="D195" s="1043" t="s">
        <v>1046</v>
      </c>
      <c r="E195" s="1044"/>
      <c r="F195" s="1045"/>
    </row>
    <row r="196" spans="2:6" ht="37.5" customHeight="1">
      <c r="B196" s="651"/>
      <c r="C196" s="804" t="s">
        <v>25</v>
      </c>
      <c r="D196" s="1046"/>
      <c r="E196" s="1000"/>
      <c r="F196" s="1001"/>
    </row>
    <row r="197" spans="2:6" ht="42" customHeight="1">
      <c r="B197" s="651"/>
      <c r="C197" s="686" t="str">
        <f>CONCATENATE("บัณฑิตที่ได้รับเงินเดือนตามเกณฑ์ = ",data1_2.34," คน")</f>
        <v>บัณฑิตที่ได้รับเงินเดือนตามเกณฑ์ = 1847 คน</v>
      </c>
      <c r="D197" s="1046"/>
      <c r="E197" s="1000"/>
      <c r="F197" s="1001"/>
    </row>
    <row r="198" spans="2:6" ht="69" customHeight="1">
      <c r="B198" s="651"/>
      <c r="C198" s="686" t="str">
        <f>CONCATENATE("บัณฑิตที่กรอกแบบสอบถามหัวข้อการได้รับเงินเดือนเริ่มต้นเป็นไปตามเกณฑ์ = ",data1_2.34.1," คน")</f>
        <v>บัณฑิตที่กรอกแบบสอบถามหัวข้อการได้รับเงินเดือนเริ่มต้นเป็นไปตามเกณฑ์ = 2096 คน</v>
      </c>
      <c r="D198" s="1046"/>
      <c r="E198" s="1000"/>
      <c r="F198" s="1001"/>
    </row>
    <row r="199" spans="2:6" ht="22.5">
      <c r="B199" s="629"/>
      <c r="C199" s="685">
        <f>ROUND((data1_2.34)*100/data1_2.34.1,2)</f>
        <v>88.12</v>
      </c>
      <c r="D199" s="1047"/>
      <c r="E199" s="1006"/>
      <c r="F199" s="1007"/>
    </row>
    <row r="200" spans="2:6">
      <c r="C200" s="24"/>
      <c r="D200" s="22"/>
      <c r="E200" s="22"/>
      <c r="F200" s="22"/>
    </row>
    <row r="201" spans="2:6" ht="23.25">
      <c r="B201" s="573"/>
      <c r="C201" s="613" t="s">
        <v>267</v>
      </c>
      <c r="D201" s="574"/>
      <c r="E201" s="574"/>
      <c r="F201" s="574"/>
    </row>
    <row r="202" spans="2:6" ht="23.25">
      <c r="B202" s="647"/>
      <c r="C202" s="618" t="s">
        <v>336</v>
      </c>
      <c r="D202" s="619" t="s">
        <v>525</v>
      </c>
      <c r="E202" s="619" t="s">
        <v>526</v>
      </c>
      <c r="F202" s="619" t="s">
        <v>531</v>
      </c>
    </row>
    <row r="203" spans="2:6" ht="65.25">
      <c r="B203" s="647"/>
      <c r="C203" s="528" t="s">
        <v>660</v>
      </c>
      <c r="D203" s="687">
        <v>4</v>
      </c>
      <c r="E203" s="679">
        <f>C207</f>
        <v>4.18</v>
      </c>
      <c r="F203" s="650">
        <f>IF(C207&lt;1,0,IF(AND(C207&gt;=1,C207&lt;2.5),1,IF(AND(C207&gt;=2.5,C207&lt;3.5),2,IF(AND(C207&gt;=3.5,C207&lt;=5),3,"ข้อมูลไม่ถูกต้อง"))))</f>
        <v>3</v>
      </c>
    </row>
    <row r="204" spans="2:6" ht="10.5" customHeight="1">
      <c r="B204" s="622"/>
      <c r="C204" s="1"/>
      <c r="D204" s="1"/>
      <c r="E204" s="1"/>
      <c r="F204" s="1"/>
    </row>
    <row r="205" spans="2:6" ht="23.25">
      <c r="B205" s="647"/>
      <c r="C205" s="635" t="s">
        <v>526</v>
      </c>
      <c r="D205" s="1027" t="s">
        <v>528</v>
      </c>
      <c r="E205" s="1028"/>
      <c r="F205" s="1029"/>
    </row>
    <row r="206" spans="2:6" ht="45">
      <c r="B206" s="626"/>
      <c r="C206" s="676" t="s">
        <v>661</v>
      </c>
      <c r="D206" s="1016" t="s">
        <v>859</v>
      </c>
      <c r="E206" s="1017"/>
      <c r="F206" s="1018"/>
    </row>
    <row r="207" spans="2:6" ht="22.5">
      <c r="B207" s="629"/>
      <c r="C207" s="688">
        <f>ROUND(data1_2.37,2)</f>
        <v>4.18</v>
      </c>
      <c r="D207" s="1022"/>
      <c r="E207" s="1008"/>
      <c r="F207" s="1009"/>
    </row>
    <row r="209" spans="2:8" ht="66" customHeight="1">
      <c r="B209" s="573"/>
      <c r="C209" s="1023" t="s">
        <v>1047</v>
      </c>
      <c r="D209" s="1023"/>
      <c r="E209" s="1023"/>
      <c r="F209" s="1023"/>
    </row>
    <row r="210" spans="2:8" ht="23.25">
      <c r="B210" s="647"/>
      <c r="C210" s="618" t="s">
        <v>336</v>
      </c>
      <c r="D210" s="619" t="s">
        <v>525</v>
      </c>
      <c r="E210" s="619" t="s">
        <v>526</v>
      </c>
      <c r="F210" s="619" t="s">
        <v>531</v>
      </c>
    </row>
    <row r="211" spans="2:8" ht="65.25">
      <c r="B211" s="647"/>
      <c r="C211" s="528" t="s">
        <v>289</v>
      </c>
      <c r="D211" s="689" t="s">
        <v>761</v>
      </c>
      <c r="E211" s="690">
        <f>C218</f>
        <v>0.54900000000000004</v>
      </c>
      <c r="F211" s="650">
        <f>IF(C218&lt;0.003,0,IF(AND(C218&gt;=0.003,C218&lt;0.016),1,IF(AND(C218&gt;=0.016,C218&lt;0.03),2,IF(C218&gt;=0.03,3,"ข้อมูลไม่ถูกต้อง"))))</f>
        <v>3</v>
      </c>
      <c r="H211" s="25"/>
    </row>
    <row r="212" spans="2:8" ht="10.5" customHeight="1">
      <c r="B212" s="622"/>
      <c r="C212" s="1"/>
      <c r="D212" s="1"/>
      <c r="E212" s="1"/>
      <c r="F212" s="1"/>
    </row>
    <row r="213" spans="2:8" ht="23.25">
      <c r="B213" s="647"/>
      <c r="C213" s="635" t="s">
        <v>106</v>
      </c>
      <c r="D213" s="1027" t="s">
        <v>528</v>
      </c>
      <c r="E213" s="1028"/>
      <c r="F213" s="1029"/>
    </row>
    <row r="214" spans="2:8" ht="18.75" customHeight="1">
      <c r="B214" s="651"/>
      <c r="C214" s="770" t="s">
        <v>892</v>
      </c>
      <c r="D214" s="1082" t="s">
        <v>561</v>
      </c>
      <c r="E214" s="1044"/>
      <c r="F214" s="1045"/>
    </row>
    <row r="215" spans="2:8" ht="26.25" customHeight="1">
      <c r="B215" s="651"/>
      <c r="C215" s="771" t="s">
        <v>18</v>
      </c>
      <c r="D215" s="1046"/>
      <c r="E215" s="1000"/>
      <c r="F215" s="1001"/>
    </row>
    <row r="216" spans="2:8" ht="48.75" customHeight="1">
      <c r="B216" s="651"/>
      <c r="C216" s="686" t="str">
        <f>CONCATENATE("นศ.,ศิษย์เก่าที่ได้รางวัลในปีการศึกษาปัจจุบัน = ",data1_2.40,"คน")</f>
        <v>นศ.,ศิษย์เก่าที่ได้รางวัลในปีการศึกษาปัจจุบัน = 220คน</v>
      </c>
      <c r="D216" s="1046"/>
      <c r="E216" s="1000"/>
      <c r="F216" s="1001"/>
    </row>
    <row r="217" spans="2:8" ht="42.75" customHeight="1">
      <c r="B217" s="651"/>
      <c r="C217" s="686" t="str">
        <f>CONCATENATE("นศ.,ศิษย์เก่าในรอบ 5 ปี = ",(data1_2.7+data1_2.44)," คน")</f>
        <v>นศ.,ศิษย์เก่าในรอบ 5 ปี = 40081 คน</v>
      </c>
      <c r="D217" s="1046"/>
      <c r="E217" s="1000"/>
      <c r="F217" s="1001"/>
    </row>
    <row r="218" spans="2:8" ht="22.5">
      <c r="B218" s="629"/>
      <c r="C218" s="691">
        <f>ROUND(data1_2.40*100/(data1_2.7+data1_2.44),3)</f>
        <v>0.54900000000000004</v>
      </c>
      <c r="D218" s="1047"/>
      <c r="E218" s="1006"/>
      <c r="F218" s="1007"/>
    </row>
    <row r="220" spans="2:8" ht="26.25">
      <c r="B220" s="328"/>
      <c r="C220" s="611" t="s">
        <v>290</v>
      </c>
    </row>
    <row r="221" spans="2:8" ht="2.25" customHeight="1">
      <c r="C221" s="2"/>
    </row>
    <row r="222" spans="2:8" ht="21" customHeight="1">
      <c r="B222" s="573"/>
      <c r="C222" s="1023" t="s">
        <v>291</v>
      </c>
      <c r="D222" s="1023"/>
      <c r="E222" s="1023"/>
      <c r="F222" s="1023"/>
    </row>
    <row r="223" spans="2:8" ht="23.25">
      <c r="B223" s="647"/>
      <c r="C223" s="618" t="s">
        <v>336</v>
      </c>
      <c r="D223" s="619" t="s">
        <v>525</v>
      </c>
      <c r="E223" s="619" t="s">
        <v>526</v>
      </c>
      <c r="F223" s="619" t="s">
        <v>531</v>
      </c>
    </row>
    <row r="224" spans="2:8" ht="67.5" customHeight="1">
      <c r="B224" s="647"/>
      <c r="C224" s="528" t="s">
        <v>292</v>
      </c>
      <c r="D224" s="648" t="s">
        <v>35</v>
      </c>
      <c r="E224" s="769" t="str">
        <f>CONCATENATE("ระดับ ",COUNTIF(B227:B244,$A$1))</f>
        <v>ระดับ 8</v>
      </c>
      <c r="F224" s="769">
        <v>3</v>
      </c>
    </row>
    <row r="225" spans="1:6" ht="5.25" customHeight="1">
      <c r="B225" s="622"/>
      <c r="C225" s="1"/>
      <c r="D225" s="1"/>
      <c r="E225" s="1"/>
      <c r="F225" s="1"/>
    </row>
    <row r="226" spans="1:6" ht="24" customHeight="1">
      <c r="B226" s="623"/>
      <c r="C226" s="995" t="s">
        <v>744</v>
      </c>
      <c r="D226" s="995"/>
      <c r="E226" s="996"/>
      <c r="F226" s="624" t="s">
        <v>528</v>
      </c>
    </row>
    <row r="227" spans="1:6" ht="24" customHeight="1">
      <c r="B227" s="651" t="str">
        <f>IF(ISBLANK(A228),$A$7,IF(A228=1,$A$1,IF(A228=0,$A$5,$A$7)))</f>
        <v>þ</v>
      </c>
      <c r="C227" s="997" t="s">
        <v>246</v>
      </c>
      <c r="D227" s="997"/>
      <c r="E227" s="998"/>
      <c r="F227" s="658"/>
    </row>
    <row r="228" spans="1:6" ht="68.25" customHeight="1">
      <c r="A228" s="77">
        <v>1</v>
      </c>
      <c r="B228" s="667"/>
      <c r="C228" s="1000" t="s">
        <v>1048</v>
      </c>
      <c r="D228" s="1000"/>
      <c r="E228" s="1001"/>
      <c r="F228" s="659" t="s">
        <v>227</v>
      </c>
    </row>
    <row r="229" spans="1:6" ht="41.25" customHeight="1">
      <c r="A229" s="77"/>
      <c r="B229" s="651" t="str">
        <f>IF(ISBLANK(A230),$A$7,IF(AND(A230=1,A228=1),$A$1,IF(A230=0,$A$5,$A$7)))</f>
        <v>þ</v>
      </c>
      <c r="C229" s="1002" t="s">
        <v>247</v>
      </c>
      <c r="D229" s="1002"/>
      <c r="E229" s="1003"/>
      <c r="F229" s="659"/>
    </row>
    <row r="230" spans="1:6" ht="220.5" customHeight="1">
      <c r="A230" s="77">
        <v>1</v>
      </c>
      <c r="B230" s="667"/>
      <c r="C230" s="999" t="s">
        <v>893</v>
      </c>
      <c r="D230" s="999"/>
      <c r="E230" s="1012"/>
      <c r="F230" s="683" t="s">
        <v>1049</v>
      </c>
    </row>
    <row r="231" spans="1:6" ht="137.25" customHeight="1">
      <c r="A231" s="77"/>
      <c r="B231" s="668"/>
      <c r="C231" s="1005" t="s">
        <v>894</v>
      </c>
      <c r="D231" s="1005"/>
      <c r="E231" s="1011"/>
      <c r="F231" s="682"/>
    </row>
    <row r="232" spans="1:6" ht="24" customHeight="1">
      <c r="B232" s="623"/>
      <c r="C232" s="995" t="s">
        <v>744</v>
      </c>
      <c r="D232" s="995"/>
      <c r="E232" s="996"/>
      <c r="F232" s="624" t="s">
        <v>528</v>
      </c>
    </row>
    <row r="233" spans="1:6" ht="24" customHeight="1">
      <c r="A233" s="77"/>
      <c r="B233" s="651" t="str">
        <f>IF(ISBLANK(A234),$A$7,IF(AND(A234=1,A230=1,A228=1),$A$1,IF(A234=0,$A$5,$A$7)))</f>
        <v>þ</v>
      </c>
      <c r="C233" s="1002" t="s">
        <v>248</v>
      </c>
      <c r="D233" s="1002"/>
      <c r="E233" s="1003"/>
      <c r="F233" s="683"/>
    </row>
    <row r="234" spans="1:6" ht="342.75" customHeight="1">
      <c r="A234" s="77">
        <v>1</v>
      </c>
      <c r="B234" s="667"/>
      <c r="C234" s="999" t="s">
        <v>1050</v>
      </c>
      <c r="D234" s="1000"/>
      <c r="E234" s="1001"/>
      <c r="F234" s="683" t="s">
        <v>895</v>
      </c>
    </row>
    <row r="235" spans="1:6" ht="21" customHeight="1">
      <c r="A235" s="77"/>
      <c r="B235" s="651" t="str">
        <f>IF(ISBLANK(A236),$A$7,IF(AND(A236=1,A234=1,A230=1,A228=1),$A$1,IF(A236=0,$A$5,$A$7)))</f>
        <v>þ</v>
      </c>
      <c r="C235" s="1002" t="s">
        <v>249</v>
      </c>
      <c r="D235" s="1002"/>
      <c r="E235" s="1003"/>
      <c r="F235" s="659"/>
    </row>
    <row r="236" spans="1:6" ht="158.25" customHeight="1">
      <c r="A236" s="77">
        <v>1</v>
      </c>
      <c r="B236" s="667"/>
      <c r="C236" s="999" t="s">
        <v>922</v>
      </c>
      <c r="D236" s="999"/>
      <c r="E236" s="1012"/>
      <c r="F236" s="683" t="s">
        <v>1051</v>
      </c>
    </row>
    <row r="237" spans="1:6" ht="22.5" customHeight="1">
      <c r="A237" s="77"/>
      <c r="B237" s="651" t="str">
        <f>IF(ISBLANK(A238),$A$7,IF(AND(A238=1,A236=1,A234=1,A230=1,A228=1),$A$1,IF(A238=0,$A$5,$A$7)))</f>
        <v>þ</v>
      </c>
      <c r="C237" s="1002" t="s">
        <v>250</v>
      </c>
      <c r="D237" s="1002"/>
      <c r="E237" s="1003"/>
      <c r="F237" s="683"/>
    </row>
    <row r="238" spans="1:6" ht="264.75" customHeight="1">
      <c r="A238" s="77">
        <v>1</v>
      </c>
      <c r="B238" s="668"/>
      <c r="C238" s="1006" t="s">
        <v>1052</v>
      </c>
      <c r="D238" s="1006"/>
      <c r="E238" s="1007"/>
      <c r="F238" s="682" t="s">
        <v>1053</v>
      </c>
    </row>
    <row r="239" spans="1:6" ht="24" customHeight="1">
      <c r="B239" s="623"/>
      <c r="C239" s="995" t="s">
        <v>744</v>
      </c>
      <c r="D239" s="995"/>
      <c r="E239" s="996"/>
      <c r="F239" s="624" t="s">
        <v>528</v>
      </c>
    </row>
    <row r="240" spans="1:6" ht="44.25" customHeight="1">
      <c r="A240" s="77"/>
      <c r="B240" s="651" t="str">
        <f>IF(ISBLANK(A241),$A$7,IF(AND(A241=1,A238=1,A236=1,A234=1,A230=1,A228=1),$A$1,IF(A241=0,$A$5,$A$7)))</f>
        <v>þ</v>
      </c>
      <c r="C240" s="1002" t="s">
        <v>251</v>
      </c>
      <c r="D240" s="1002"/>
      <c r="E240" s="1003"/>
      <c r="F240" s="659"/>
    </row>
    <row r="241" spans="1:6" ht="244.5" customHeight="1">
      <c r="A241" s="77">
        <v>1</v>
      </c>
      <c r="B241" s="667"/>
      <c r="C241" s="999" t="s">
        <v>1055</v>
      </c>
      <c r="D241" s="1000"/>
      <c r="E241" s="1001"/>
      <c r="F241" s="683" t="s">
        <v>1054</v>
      </c>
    </row>
    <row r="242" spans="1:6" ht="21" customHeight="1">
      <c r="A242" s="77"/>
      <c r="B242" s="651" t="str">
        <f>IF(ISBLANK(A243),$A$7,IF(AND(A243=1,A241=1,A238=1,A236=1,A234=1,A230=1,A228=1),$A$1,IF(A243=0,$A$5,$A$7)))</f>
        <v>þ</v>
      </c>
      <c r="C242" s="1002" t="s">
        <v>26</v>
      </c>
      <c r="D242" s="1002"/>
      <c r="E242" s="1003"/>
      <c r="F242" s="659"/>
    </row>
    <row r="243" spans="1:6" ht="153" customHeight="1">
      <c r="A243" s="77">
        <v>1</v>
      </c>
      <c r="B243" s="667"/>
      <c r="C243" s="1000" t="s">
        <v>866</v>
      </c>
      <c r="D243" s="1000"/>
      <c r="E243" s="1001"/>
      <c r="F243" s="683" t="s">
        <v>896</v>
      </c>
    </row>
    <row r="244" spans="1:6" ht="41.25" customHeight="1">
      <c r="A244" s="77"/>
      <c r="B244" s="651" t="str">
        <f>IF(ISBLANK(A245),$A$7,IF(AND(A245=1,A243=1,A241=1,A238=1,A236=1,A234=1,A230=1,A228=1),$A$1,IF(A245=0,$A$5,$A$7)))</f>
        <v>þ</v>
      </c>
      <c r="C244" s="1002" t="s">
        <v>705</v>
      </c>
      <c r="D244" s="1002"/>
      <c r="E244" s="1003"/>
      <c r="F244" s="683"/>
    </row>
    <row r="245" spans="1:6" ht="153.75" customHeight="1">
      <c r="A245" s="77">
        <v>1</v>
      </c>
      <c r="B245" s="668"/>
      <c r="C245" s="1006" t="s">
        <v>1056</v>
      </c>
      <c r="D245" s="1006"/>
      <c r="E245" s="1007"/>
      <c r="F245" s="682" t="s">
        <v>897</v>
      </c>
    </row>
    <row r="247" spans="1:6" ht="21" customHeight="1">
      <c r="B247" s="573"/>
      <c r="C247" s="1023" t="s">
        <v>192</v>
      </c>
      <c r="D247" s="1023"/>
      <c r="E247" s="1023"/>
      <c r="F247" s="1023"/>
    </row>
    <row r="248" spans="1:6" ht="23.25">
      <c r="B248" s="647"/>
      <c r="C248" s="618" t="s">
        <v>336</v>
      </c>
      <c r="D248" s="619" t="s">
        <v>525</v>
      </c>
      <c r="E248" s="619" t="s">
        <v>526</v>
      </c>
      <c r="F248" s="619" t="s">
        <v>531</v>
      </c>
    </row>
    <row r="249" spans="1:6" ht="65.25">
      <c r="B249" s="647"/>
      <c r="C249" s="528" t="s">
        <v>100</v>
      </c>
      <c r="D249" s="648" t="s">
        <v>36</v>
      </c>
      <c r="E249" s="769" t="str">
        <f>CONCATENATE("ระดับ ",COUNTIF(B252:B259,$A$1))</f>
        <v>ระดับ 4</v>
      </c>
      <c r="F249" s="769">
        <v>3</v>
      </c>
    </row>
    <row r="250" spans="1:6" ht="5.25" customHeight="1">
      <c r="B250" s="622"/>
      <c r="C250" s="1"/>
      <c r="D250" s="1"/>
      <c r="E250" s="1"/>
      <c r="F250" s="1"/>
    </row>
    <row r="251" spans="1:6" ht="24" customHeight="1">
      <c r="B251" s="623"/>
      <c r="C251" s="995" t="s">
        <v>744</v>
      </c>
      <c r="D251" s="995"/>
      <c r="E251" s="996"/>
      <c r="F251" s="624" t="s">
        <v>528</v>
      </c>
    </row>
    <row r="252" spans="1:6" ht="46.5" customHeight="1">
      <c r="B252" s="626" t="str">
        <f>IF(ISBLANK(A253),$A$6,IF(A253=1,$A$1,IF(A253=0,$A$5,$A$6)))</f>
        <v>þ</v>
      </c>
      <c r="C252" s="997" t="s">
        <v>706</v>
      </c>
      <c r="D252" s="997"/>
      <c r="E252" s="998"/>
      <c r="F252" s="658"/>
    </row>
    <row r="253" spans="1:6" ht="309.75" customHeight="1">
      <c r="A253" s="77">
        <v>1</v>
      </c>
      <c r="B253" s="667"/>
      <c r="C253" s="1000" t="s">
        <v>1057</v>
      </c>
      <c r="D253" s="1000"/>
      <c r="E253" s="1001"/>
      <c r="F253" s="981" t="s">
        <v>1107</v>
      </c>
    </row>
    <row r="254" spans="1:6" ht="149.25" customHeight="1">
      <c r="A254" s="77"/>
      <c r="B254" s="651" t="str">
        <f>IF(ISBLANK(A255),$A$6,IF(AND(A255=1,A253=1),$A$1,IF(A255=0,$A$5,$A$6)))</f>
        <v>þ</v>
      </c>
      <c r="C254" s="1002" t="s">
        <v>800</v>
      </c>
      <c r="D254" s="1002"/>
      <c r="E254" s="1003"/>
      <c r="F254" s="663"/>
    </row>
    <row r="255" spans="1:6" ht="210" customHeight="1">
      <c r="A255" s="77">
        <v>1</v>
      </c>
      <c r="B255" s="668"/>
      <c r="C255" s="1008" t="s">
        <v>1058</v>
      </c>
      <c r="D255" s="1008"/>
      <c r="E255" s="1009"/>
      <c r="F255" s="631" t="s">
        <v>1059</v>
      </c>
    </row>
    <row r="256" spans="1:6" ht="24" customHeight="1">
      <c r="B256" s="623"/>
      <c r="C256" s="995" t="s">
        <v>744</v>
      </c>
      <c r="D256" s="995"/>
      <c r="E256" s="996"/>
      <c r="F256" s="624" t="s">
        <v>528</v>
      </c>
    </row>
    <row r="257" spans="1:6" ht="48" customHeight="1">
      <c r="A257" s="77"/>
      <c r="B257" s="651" t="str">
        <f>IF(ISBLANK(A258),$A$6,IF(AND(A258=1,A255=1,A253=1),$A$1,IF(A258=0,$A$5,$A$6)))</f>
        <v>þ</v>
      </c>
      <c r="C257" s="1002" t="s">
        <v>700</v>
      </c>
      <c r="D257" s="1002"/>
      <c r="E257" s="1003"/>
      <c r="F257" s="663"/>
    </row>
    <row r="258" spans="1:6" ht="67.5" customHeight="1">
      <c r="A258" s="77">
        <v>1</v>
      </c>
      <c r="B258" s="667"/>
      <c r="C258" s="1000" t="s">
        <v>1108</v>
      </c>
      <c r="D258" s="1000"/>
      <c r="E258" s="1001"/>
      <c r="F258" s="796" t="s">
        <v>923</v>
      </c>
    </row>
    <row r="259" spans="1:6" ht="44.25" customHeight="1">
      <c r="A259" s="77"/>
      <c r="B259" s="651" t="str">
        <f>IF(ISBLANK(A260),$A$6,IF(AND(A260=1,A258=1,A255=1,A253=1),$A$1,IF(A260=0,$A$5,$A$6)))</f>
        <v>þ</v>
      </c>
      <c r="C259" s="1002" t="s">
        <v>699</v>
      </c>
      <c r="D259" s="1002"/>
      <c r="E259" s="1003"/>
      <c r="F259" s="663"/>
    </row>
    <row r="260" spans="1:6" ht="225" customHeight="1">
      <c r="A260" s="77">
        <v>1</v>
      </c>
      <c r="B260" s="668"/>
      <c r="C260" s="1005" t="s">
        <v>988</v>
      </c>
      <c r="D260" s="1006"/>
      <c r="E260" s="1007"/>
      <c r="F260" s="631" t="s">
        <v>989</v>
      </c>
    </row>
    <row r="262" spans="1:6" ht="26.25">
      <c r="C262" s="611" t="s">
        <v>193</v>
      </c>
    </row>
    <row r="263" spans="1:6" ht="10.5" customHeight="1"/>
    <row r="264" spans="1:6" ht="29.25" customHeight="1">
      <c r="B264" s="573"/>
      <c r="C264" s="1004" t="s">
        <v>194</v>
      </c>
      <c r="D264" s="1004"/>
      <c r="E264" s="1004"/>
      <c r="F264" s="1004"/>
    </row>
    <row r="265" spans="1:6" ht="23.25">
      <c r="B265" s="647"/>
      <c r="C265" s="618" t="s">
        <v>336</v>
      </c>
      <c r="D265" s="619" t="s">
        <v>525</v>
      </c>
      <c r="E265" s="619" t="s">
        <v>526</v>
      </c>
      <c r="F265" s="619" t="s">
        <v>531</v>
      </c>
    </row>
    <row r="266" spans="1:6" ht="65.25">
      <c r="B266" s="647"/>
      <c r="C266" s="528" t="s">
        <v>195</v>
      </c>
      <c r="D266" s="648" t="s">
        <v>37</v>
      </c>
      <c r="E266" s="671" t="str">
        <f>CONCATENATE(COUNTIF(A270:A281,1)," ข้อ")</f>
        <v>6 ข้อ</v>
      </c>
      <c r="F266" s="671">
        <v>3</v>
      </c>
    </row>
    <row r="267" spans="1:6" ht="10.5" customHeight="1">
      <c r="B267" s="622"/>
      <c r="C267" s="1"/>
      <c r="D267" s="1"/>
      <c r="E267" s="1"/>
      <c r="F267" s="1"/>
    </row>
    <row r="268" spans="1:6" ht="24" customHeight="1">
      <c r="B268" s="623"/>
      <c r="C268" s="995" t="s">
        <v>744</v>
      </c>
      <c r="D268" s="995"/>
      <c r="E268" s="996"/>
      <c r="F268" s="624" t="s">
        <v>528</v>
      </c>
    </row>
    <row r="269" spans="1:6" ht="48" customHeight="1">
      <c r="B269" s="626" t="str">
        <f>IF(ISBLANK(A270),$A$5,IF(A270=1,$A$1,IF(A270=0,#REF!,$A$5)))</f>
        <v>þ</v>
      </c>
      <c r="C269" s="997" t="s">
        <v>701</v>
      </c>
      <c r="D269" s="997"/>
      <c r="E269" s="998"/>
      <c r="F269" s="658"/>
    </row>
    <row r="270" spans="1:6" ht="210" customHeight="1">
      <c r="A270" s="77">
        <v>1</v>
      </c>
      <c r="B270" s="667"/>
      <c r="C270" s="1036" t="s">
        <v>1060</v>
      </c>
      <c r="D270" s="1036"/>
      <c r="E270" s="1037"/>
      <c r="F270" s="952" t="s">
        <v>1014</v>
      </c>
    </row>
    <row r="271" spans="1:6" ht="48.75" customHeight="1">
      <c r="A271" s="77"/>
      <c r="B271" s="651" t="str">
        <f>IF(ISBLANK(A272),$A$5,IF(A272=1,$A$1,IF(A272=0,#REF!,$A$5)))</f>
        <v>þ</v>
      </c>
      <c r="C271" s="1002" t="s">
        <v>702</v>
      </c>
      <c r="D271" s="1002"/>
      <c r="E271" s="1003"/>
      <c r="F271" s="692"/>
    </row>
    <row r="272" spans="1:6" ht="27" customHeight="1">
      <c r="A272" s="77">
        <v>1</v>
      </c>
      <c r="B272" s="667"/>
      <c r="C272" s="1042" t="s">
        <v>768</v>
      </c>
      <c r="D272" s="1042"/>
      <c r="E272" s="1083"/>
      <c r="F272" s="584" t="s">
        <v>218</v>
      </c>
    </row>
    <row r="273" spans="1:6" ht="47.25" customHeight="1">
      <c r="A273" s="77"/>
      <c r="B273" s="651" t="str">
        <f>IF(ISBLANK(A274),$A$5,IF(A274=1,$A$1,IF(A274=0,#REF!,$A$5)))</f>
        <v>þ</v>
      </c>
      <c r="C273" s="1002" t="s">
        <v>703</v>
      </c>
      <c r="D273" s="1002"/>
      <c r="E273" s="1003"/>
      <c r="F273" s="584"/>
    </row>
    <row r="274" spans="1:6" ht="297" customHeight="1">
      <c r="A274" s="77">
        <v>1</v>
      </c>
      <c r="B274" s="668"/>
      <c r="C274" s="1038" t="s">
        <v>898</v>
      </c>
      <c r="D274" s="1038"/>
      <c r="E274" s="1039"/>
      <c r="F274" s="693" t="s">
        <v>867</v>
      </c>
    </row>
    <row r="275" spans="1:6" ht="24" customHeight="1">
      <c r="B275" s="623"/>
      <c r="C275" s="995" t="s">
        <v>744</v>
      </c>
      <c r="D275" s="995"/>
      <c r="E275" s="996"/>
      <c r="F275" s="624" t="s">
        <v>528</v>
      </c>
    </row>
    <row r="276" spans="1:6" ht="24" customHeight="1">
      <c r="A276" s="77"/>
      <c r="B276" s="651" t="str">
        <f>IF(ISBLANK(A277),$A$5,IF(A277=1,$A$1,IF(A277=0,#REF!,$A$5)))</f>
        <v>þ</v>
      </c>
      <c r="C276" s="1002" t="s">
        <v>704</v>
      </c>
      <c r="D276" s="1002"/>
      <c r="E276" s="1003"/>
      <c r="F276" s="692"/>
    </row>
    <row r="277" spans="1:6" ht="248.25" customHeight="1">
      <c r="A277" s="77">
        <v>1</v>
      </c>
      <c r="B277" s="667"/>
      <c r="C277" s="1040" t="s">
        <v>1015</v>
      </c>
      <c r="D277" s="1040"/>
      <c r="E277" s="1041"/>
      <c r="F277" s="692" t="s">
        <v>1016</v>
      </c>
    </row>
    <row r="278" spans="1:6" ht="45" customHeight="1">
      <c r="A278" s="77"/>
      <c r="B278" s="651" t="str">
        <f>IF(ISBLANK(A279),$A$5,IF(A279=1,$A$1,IF(A279=0,#REF!,$A$5)))</f>
        <v>þ</v>
      </c>
      <c r="C278" s="1002" t="s">
        <v>510</v>
      </c>
      <c r="D278" s="1002"/>
      <c r="E278" s="1003"/>
      <c r="F278" s="692"/>
    </row>
    <row r="279" spans="1:6" ht="50.25" customHeight="1">
      <c r="A279" s="77">
        <v>1</v>
      </c>
      <c r="B279" s="667"/>
      <c r="C279" s="1042" t="s">
        <v>801</v>
      </c>
      <c r="D279" s="1036"/>
      <c r="E279" s="1037"/>
      <c r="F279" s="694" t="s">
        <v>868</v>
      </c>
    </row>
    <row r="280" spans="1:6" ht="44.25" customHeight="1">
      <c r="A280" s="77"/>
      <c r="B280" s="651" t="str">
        <f>IF(ISBLANK(A281),$A$5,IF(A281=1,$A$1,IF(A281=0,#REF!,$A$5)))</f>
        <v>þ</v>
      </c>
      <c r="C280" s="1002" t="s">
        <v>338</v>
      </c>
      <c r="D280" s="1002"/>
      <c r="E280" s="1003"/>
      <c r="F280" s="694"/>
    </row>
    <row r="281" spans="1:6" ht="246" customHeight="1">
      <c r="A281" s="77">
        <v>1</v>
      </c>
      <c r="B281" s="668"/>
      <c r="C281" s="1038" t="s">
        <v>802</v>
      </c>
      <c r="D281" s="1038"/>
      <c r="E281" s="1039"/>
      <c r="F281" s="693" t="s">
        <v>1017</v>
      </c>
    </row>
    <row r="282" spans="1:6" ht="21.75">
      <c r="B282" s="573"/>
      <c r="C282" s="574"/>
      <c r="D282" s="574"/>
      <c r="E282" s="574"/>
      <c r="F282" s="574"/>
    </row>
    <row r="283" spans="1:6" ht="21" customHeight="1">
      <c r="B283" s="573"/>
      <c r="C283" s="1004" t="s">
        <v>196</v>
      </c>
      <c r="D283" s="1004"/>
      <c r="E283" s="1004"/>
      <c r="F283" s="1004"/>
    </row>
    <row r="284" spans="1:6" ht="23.25">
      <c r="B284" s="647"/>
      <c r="C284" s="618" t="s">
        <v>336</v>
      </c>
      <c r="D284" s="619" t="s">
        <v>525</v>
      </c>
      <c r="E284" s="619" t="s">
        <v>526</v>
      </c>
      <c r="F284" s="619" t="s">
        <v>531</v>
      </c>
    </row>
    <row r="285" spans="1:6" ht="65.25">
      <c r="B285" s="647"/>
      <c r="C285" s="528" t="s">
        <v>101</v>
      </c>
      <c r="D285" s="648" t="s">
        <v>38</v>
      </c>
      <c r="E285" s="650" t="str">
        <f>CONCATENATE(COUNTIF(A289:A298,1)," ข้อ")</f>
        <v>4 ข้อ</v>
      </c>
      <c r="F285" s="650">
        <v>3</v>
      </c>
    </row>
    <row r="286" spans="1:6" ht="10.5" customHeight="1">
      <c r="B286" s="622"/>
      <c r="C286" s="1"/>
      <c r="D286" s="1"/>
      <c r="E286" s="1"/>
      <c r="F286" s="1"/>
    </row>
    <row r="287" spans="1:6" ht="24" customHeight="1">
      <c r="B287" s="623"/>
      <c r="C287" s="995" t="s">
        <v>744</v>
      </c>
      <c r="D287" s="995"/>
      <c r="E287" s="996"/>
      <c r="F287" s="624" t="s">
        <v>528</v>
      </c>
    </row>
    <row r="288" spans="1:6" ht="47.25" customHeight="1">
      <c r="B288" s="626" t="str">
        <f>IF(ISBLANK(A289),$A$6,IF(A289=1,$A$1,IF(A289=0,$A$5,$A$6)))</f>
        <v>þ</v>
      </c>
      <c r="C288" s="997" t="s">
        <v>340</v>
      </c>
      <c r="D288" s="997"/>
      <c r="E288" s="998"/>
      <c r="F288" s="658"/>
    </row>
    <row r="289" spans="1:6" ht="202.5" customHeight="1">
      <c r="A289" s="77">
        <v>1</v>
      </c>
      <c r="B289" s="667"/>
      <c r="C289" s="1036" t="s">
        <v>1061</v>
      </c>
      <c r="D289" s="1036"/>
      <c r="E289" s="1037"/>
      <c r="F289" s="692" t="s">
        <v>1062</v>
      </c>
    </row>
    <row r="290" spans="1:6" ht="47.25" customHeight="1">
      <c r="A290" s="77"/>
      <c r="B290" s="651" t="str">
        <f>IF(ISBLANK(A291),$A$6,IF(A291=1,$A$1,IF(A291=0,$A$5,$A$6)))</f>
        <v>þ</v>
      </c>
      <c r="C290" s="1002" t="s">
        <v>341</v>
      </c>
      <c r="D290" s="1002"/>
      <c r="E290" s="1003"/>
      <c r="F290" s="692"/>
    </row>
    <row r="291" spans="1:6" ht="250.5" customHeight="1">
      <c r="A291" s="77">
        <v>1</v>
      </c>
      <c r="B291" s="668"/>
      <c r="C291" s="1038" t="s">
        <v>1064</v>
      </c>
      <c r="D291" s="1038"/>
      <c r="E291" s="1039"/>
      <c r="F291" s="693" t="s">
        <v>1063</v>
      </c>
    </row>
    <row r="292" spans="1:6" ht="24" customHeight="1">
      <c r="B292" s="623"/>
      <c r="C292" s="995" t="s">
        <v>744</v>
      </c>
      <c r="D292" s="995"/>
      <c r="E292" s="996"/>
      <c r="F292" s="624" t="s">
        <v>528</v>
      </c>
    </row>
    <row r="293" spans="1:6" ht="46.5" customHeight="1">
      <c r="A293" s="77"/>
      <c r="B293" s="651" t="str">
        <f>IF(ISBLANK(A294),$A$6,IF(A294=1,$A$1,IF(A294=0,$A$5,$A$6)))</f>
        <v>þ</v>
      </c>
      <c r="C293" s="1002" t="s">
        <v>342</v>
      </c>
      <c r="D293" s="1002"/>
      <c r="E293" s="1003"/>
      <c r="F293" s="692"/>
    </row>
    <row r="294" spans="1:6" ht="202.5" customHeight="1">
      <c r="A294" s="77">
        <v>1</v>
      </c>
      <c r="B294" s="667"/>
      <c r="C294" s="1036" t="s">
        <v>769</v>
      </c>
      <c r="D294" s="1036"/>
      <c r="E294" s="1037"/>
      <c r="F294" s="692" t="s">
        <v>803</v>
      </c>
    </row>
    <row r="295" spans="1:6" ht="45" customHeight="1">
      <c r="A295" s="77"/>
      <c r="B295" s="651" t="str">
        <f>IF(ISBLANK(A296),$A$6,IF(A296=1,$A$1,IF(A296=0,$A$5,$A$6)))</f>
        <v>þ</v>
      </c>
      <c r="C295" s="1002" t="s">
        <v>343</v>
      </c>
      <c r="D295" s="1002"/>
      <c r="E295" s="1003"/>
      <c r="F295" s="692"/>
    </row>
    <row r="296" spans="1:6" ht="156.75" customHeight="1">
      <c r="A296" s="77">
        <v>1</v>
      </c>
      <c r="B296" s="667"/>
      <c r="C296" s="1042" t="s">
        <v>1065</v>
      </c>
      <c r="D296" s="1042"/>
      <c r="E296" s="1083"/>
      <c r="F296" s="694" t="s">
        <v>804</v>
      </c>
    </row>
    <row r="297" spans="1:6" ht="75.75" customHeight="1">
      <c r="A297" s="77"/>
      <c r="B297" s="695" t="s">
        <v>64</v>
      </c>
      <c r="C297" s="1002" t="s">
        <v>344</v>
      </c>
      <c r="D297" s="1002"/>
      <c r="E297" s="1003"/>
      <c r="F297" s="694"/>
    </row>
    <row r="298" spans="1:6" ht="22.5">
      <c r="A298" s="77">
        <v>0</v>
      </c>
      <c r="B298" s="668"/>
      <c r="C298" s="794" t="s">
        <v>805</v>
      </c>
      <c r="D298" s="1006"/>
      <c r="E298" s="1007"/>
      <c r="F298" s="764"/>
    </row>
    <row r="300" spans="1:6" ht="21" customHeight="1">
      <c r="B300" s="573"/>
      <c r="C300" s="1023" t="s">
        <v>197</v>
      </c>
      <c r="D300" s="1023"/>
      <c r="E300" s="1023"/>
      <c r="F300" s="1023"/>
    </row>
    <row r="301" spans="1:6" ht="23.25">
      <c r="B301" s="647"/>
      <c r="C301" s="618" t="s">
        <v>336</v>
      </c>
      <c r="D301" s="619" t="s">
        <v>525</v>
      </c>
      <c r="E301" s="619" t="s">
        <v>526</v>
      </c>
      <c r="F301" s="619" t="s">
        <v>531</v>
      </c>
    </row>
    <row r="302" spans="1:6" ht="65.25">
      <c r="B302" s="647"/>
      <c r="C302" s="528" t="s">
        <v>105</v>
      </c>
      <c r="D302" s="648" t="s">
        <v>39</v>
      </c>
      <c r="E302" s="696" t="str">
        <f>CONCATENATE(TEXT(C310,"#,##0.00"), " บาท ")</f>
        <v xml:space="preserve">42,843.47 บาท </v>
      </c>
      <c r="F302" s="650">
        <f>IF(C310&lt;1,0,IF(AND(C310&gt;=1,C310&lt;17000),1,IF(AND(C310&gt;=17000,C310&lt;25000),2,IF(C310&gt;=25000,3,"ข้อมูลไม่ถูกต้อง"))))</f>
        <v>3</v>
      </c>
    </row>
    <row r="303" spans="1:6" ht="10.5" customHeight="1">
      <c r="B303" s="622"/>
      <c r="C303" s="1"/>
      <c r="D303" s="1"/>
      <c r="E303" s="1"/>
      <c r="F303" s="1"/>
    </row>
    <row r="304" spans="1:6" ht="23.25">
      <c r="B304" s="647"/>
      <c r="C304" s="635" t="s">
        <v>106</v>
      </c>
      <c r="D304" s="1027" t="s">
        <v>528</v>
      </c>
      <c r="E304" s="1028"/>
      <c r="F304" s="1029"/>
    </row>
    <row r="305" spans="2:6" ht="42.75" customHeight="1">
      <c r="B305" s="626"/>
      <c r="C305" s="581" t="s">
        <v>807</v>
      </c>
      <c r="D305" s="1026" t="s">
        <v>806</v>
      </c>
      <c r="E305" s="1017"/>
      <c r="F305" s="1018"/>
    </row>
    <row r="306" spans="2:6" ht="26.25" customHeight="1">
      <c r="B306" s="651"/>
      <c r="C306" s="581" t="s">
        <v>438</v>
      </c>
      <c r="D306" s="1019"/>
      <c r="E306" s="1020"/>
      <c r="F306" s="1021"/>
    </row>
    <row r="307" spans="2:6" ht="20.25" customHeight="1">
      <c r="B307" s="651"/>
      <c r="C307" s="697" t="str">
        <f>CONCATENATE("เงินสนับสนุนงานวิจัย ฯ  = ",data1_4.1," บาท")</f>
        <v>เงินสนับสนุนงานวิจัย ฯ  = 22707037.05 บาท</v>
      </c>
      <c r="D307" s="1019"/>
      <c r="E307" s="1020"/>
      <c r="F307" s="1021"/>
    </row>
    <row r="308" spans="2:6" ht="24" customHeight="1">
      <c r="B308" s="651"/>
      <c r="C308" s="698" t="s">
        <v>1066</v>
      </c>
      <c r="D308" s="1019"/>
      <c r="E308" s="1020"/>
      <c r="F308" s="1021"/>
    </row>
    <row r="309" spans="2:6" ht="42" customHeight="1">
      <c r="B309" s="651"/>
      <c r="C309" s="699" t="str">
        <f>CONCATENATE("อาจารย์และนักวิจัยที่ปฎิบัติงานจริง = ",(data1_2.12+data1_2.23)," คน")</f>
        <v>อาจารย์และนักวิจัยที่ปฎิบัติงานจริง = 530 คน</v>
      </c>
      <c r="D309" s="1019"/>
      <c r="E309" s="1020"/>
      <c r="F309" s="1021"/>
    </row>
    <row r="310" spans="2:6" ht="22.5">
      <c r="B310" s="629"/>
      <c r="C310" s="685">
        <f>ROUND(data1_4.1/(data1_2.12+data1_2.23),2)</f>
        <v>42843.47</v>
      </c>
      <c r="D310" s="1022"/>
      <c r="E310" s="1008"/>
      <c r="F310" s="1009"/>
    </row>
    <row r="311" spans="2:6" ht="21.75">
      <c r="B311" s="573"/>
      <c r="C311" s="574"/>
      <c r="D311" s="574"/>
      <c r="E311" s="574"/>
      <c r="F311" s="574"/>
    </row>
    <row r="312" spans="2:6" ht="42.75" customHeight="1">
      <c r="B312" s="573"/>
      <c r="C312" s="1023" t="s">
        <v>430</v>
      </c>
      <c r="D312" s="1023"/>
      <c r="E312" s="1023"/>
      <c r="F312" s="1023"/>
    </row>
    <row r="313" spans="2:6" ht="23.25">
      <c r="B313" s="647"/>
      <c r="C313" s="618" t="s">
        <v>336</v>
      </c>
      <c r="D313" s="619" t="s">
        <v>525</v>
      </c>
      <c r="E313" s="619" t="s">
        <v>526</v>
      </c>
      <c r="F313" s="619" t="s">
        <v>531</v>
      </c>
    </row>
    <row r="314" spans="2:6" ht="65.25">
      <c r="B314" s="647"/>
      <c r="C314" s="528" t="s">
        <v>431</v>
      </c>
      <c r="D314" s="648" t="s">
        <v>40</v>
      </c>
      <c r="E314" s="649">
        <f>C321</f>
        <v>21.32</v>
      </c>
      <c r="F314" s="650">
        <f>IF(C321&lt;1,0,IF(AND(C321&gt;=1,C321&lt;20),1,IF(AND(C321&gt;=20,C321&lt;30),2,IF(C321&gt;=30,3,"ข้อมูลไม่ถูกต้อง"))))</f>
        <v>2</v>
      </c>
    </row>
    <row r="315" spans="2:6" ht="10.5" customHeight="1">
      <c r="B315" s="622"/>
      <c r="C315" s="1"/>
      <c r="D315" s="1"/>
      <c r="E315" s="1"/>
      <c r="F315" s="1"/>
    </row>
    <row r="316" spans="2:6" ht="23.25">
      <c r="B316" s="647"/>
      <c r="C316" s="635" t="s">
        <v>106</v>
      </c>
      <c r="D316" s="1027" t="s">
        <v>528</v>
      </c>
      <c r="E316" s="1028"/>
      <c r="F316" s="1029"/>
    </row>
    <row r="317" spans="2:6" ht="20.25" customHeight="1">
      <c r="B317" s="651"/>
      <c r="C317" s="576" t="s">
        <v>254</v>
      </c>
      <c r="D317" s="1026" t="s">
        <v>808</v>
      </c>
      <c r="E317" s="1017"/>
      <c r="F317" s="1018"/>
    </row>
    <row r="318" spans="2:6" ht="27" customHeight="1">
      <c r="B318" s="651"/>
      <c r="C318" s="546" t="s">
        <v>438</v>
      </c>
      <c r="D318" s="1019"/>
      <c r="E318" s="1020"/>
      <c r="F318" s="1021"/>
    </row>
    <row r="319" spans="2:6" ht="20.25" customHeight="1">
      <c r="B319" s="651"/>
      <c r="C319" s="686" t="str">
        <f>CONCATENATE("งานวิจัยฯที่ตีพิมพ์เผยแพร่ = ",(data1_4.3.1+data1_4.3.2+data1_4.3.3+data1_4.3.5)," ชิ้น")</f>
        <v>งานวิจัยฯที่ตีพิมพ์เผยแพร่ = 113 ชิ้น</v>
      </c>
      <c r="D319" s="1019"/>
      <c r="E319" s="1020"/>
      <c r="F319" s="1021"/>
    </row>
    <row r="320" spans="2:6" ht="44.25" customHeight="1">
      <c r="B320" s="651"/>
      <c r="C320" s="699" t="str">
        <f>CONCATENATE("อาจารย์และนักวิจัยที่ปฎิบัติงานจริง = ",(data1_2.12+data1_2.23)," คน")</f>
        <v>อาจารย์และนักวิจัยที่ปฎิบัติงานจริง = 530 คน</v>
      </c>
      <c r="D320" s="1019"/>
      <c r="E320" s="1020"/>
      <c r="F320" s="1021"/>
    </row>
    <row r="321" spans="1:6" ht="22.5">
      <c r="B321" s="629"/>
      <c r="C321" s="685">
        <f>ROUND((data1_4.3.1+data1_4.3.2+data1_4.3.3+data1_4.3.5)*100/(data1_2.12+data1_2.23),2)</f>
        <v>21.32</v>
      </c>
      <c r="D321" s="1022"/>
      <c r="E321" s="1008"/>
      <c r="F321" s="1009"/>
    </row>
    <row r="322" spans="1:6" ht="23.25" customHeight="1">
      <c r="B322" s="573"/>
      <c r="C322" s="574"/>
      <c r="D322" s="574"/>
      <c r="E322" s="574"/>
      <c r="F322" s="574"/>
    </row>
    <row r="323" spans="1:6" ht="26.25">
      <c r="B323" s="328"/>
      <c r="C323" s="611" t="s">
        <v>432</v>
      </c>
    </row>
    <row r="324" spans="1:6" ht="12" customHeight="1">
      <c r="C324" s="2"/>
    </row>
    <row r="325" spans="1:6" ht="21" customHeight="1">
      <c r="B325" s="573"/>
      <c r="C325" s="1004" t="s">
        <v>435</v>
      </c>
      <c r="D325" s="1004"/>
      <c r="E325" s="1004"/>
      <c r="F325" s="1004"/>
    </row>
    <row r="326" spans="1:6" ht="23.25">
      <c r="B326" s="647"/>
      <c r="C326" s="618" t="s">
        <v>336</v>
      </c>
      <c r="D326" s="619" t="s">
        <v>525</v>
      </c>
      <c r="E326" s="619" t="s">
        <v>526</v>
      </c>
      <c r="F326" s="619" t="s">
        <v>531</v>
      </c>
    </row>
    <row r="327" spans="1:6" ht="63.75" customHeight="1">
      <c r="B327" s="647"/>
      <c r="C327" s="528" t="s">
        <v>524</v>
      </c>
      <c r="D327" s="648" t="s">
        <v>74</v>
      </c>
      <c r="E327" s="769" t="str">
        <f>CONCATENATE("ระดับ ",COUNTIF(B330:B343,$A$1))</f>
        <v>ระดับ 7</v>
      </c>
      <c r="F327" s="769">
        <v>3</v>
      </c>
    </row>
    <row r="328" spans="1:6" ht="4.5" customHeight="1">
      <c r="B328" s="651"/>
      <c r="C328" s="1"/>
      <c r="D328" s="1"/>
      <c r="E328" s="1"/>
      <c r="F328" s="1"/>
    </row>
    <row r="329" spans="1:6" ht="24" customHeight="1">
      <c r="B329" s="623"/>
      <c r="C329" s="995" t="s">
        <v>744</v>
      </c>
      <c r="D329" s="995"/>
      <c r="E329" s="996"/>
      <c r="F329" s="624" t="s">
        <v>528</v>
      </c>
    </row>
    <row r="330" spans="1:6" ht="41.25" customHeight="1">
      <c r="B330" s="626" t="str">
        <f>IF(ISBLANK(A331),$A$5,IF(A331=1,$A$1,IF(A331=0,#REF!,$A$5)))</f>
        <v>þ</v>
      </c>
      <c r="C330" s="997" t="s">
        <v>345</v>
      </c>
      <c r="D330" s="997"/>
      <c r="E330" s="998"/>
      <c r="F330" s="658"/>
    </row>
    <row r="331" spans="1:6" ht="291" customHeight="1">
      <c r="A331" s="77">
        <v>1</v>
      </c>
      <c r="B331" s="667"/>
      <c r="C331" s="999" t="s">
        <v>1028</v>
      </c>
      <c r="D331" s="999"/>
      <c r="E331" s="1012"/>
      <c r="F331" s="954" t="s">
        <v>1027</v>
      </c>
    </row>
    <row r="332" spans="1:6" ht="42.75" customHeight="1">
      <c r="A332" s="77"/>
      <c r="B332" s="651" t="str">
        <f>IF(ISBLANK(A333),$A$5,IF(AND(A333=1,A331=1),$A$1,IF(A333=0,#REF!,$A$5)))</f>
        <v>þ</v>
      </c>
      <c r="C332" s="1002" t="s">
        <v>346</v>
      </c>
      <c r="D332" s="1002"/>
      <c r="E332" s="1003"/>
      <c r="F332" s="663"/>
    </row>
    <row r="333" spans="1:6" ht="86.25" customHeight="1">
      <c r="A333" s="77">
        <v>1</v>
      </c>
      <c r="B333" s="667"/>
      <c r="C333" s="1000" t="s">
        <v>1029</v>
      </c>
      <c r="D333" s="999"/>
      <c r="E333" s="1012"/>
      <c r="F333" s="809" t="s">
        <v>942</v>
      </c>
    </row>
    <row r="334" spans="1:6" ht="41.25" customHeight="1">
      <c r="A334" s="77"/>
      <c r="B334" s="651" t="str">
        <f>IF(ISBLANK(A335),$A$5,IF(AND(A335=1,A333=1,A331=1),$A$1,IF(A335=0,#REF!,$A$5)))</f>
        <v>þ</v>
      </c>
      <c r="C334" s="1002" t="s">
        <v>347</v>
      </c>
      <c r="D334" s="1002"/>
      <c r="E334" s="1003"/>
      <c r="F334" s="663"/>
    </row>
    <row r="335" spans="1:6" ht="85.5" customHeight="1">
      <c r="A335" s="77">
        <v>1</v>
      </c>
      <c r="B335" s="667"/>
      <c r="C335" s="1000" t="s">
        <v>708</v>
      </c>
      <c r="D335" s="1000"/>
      <c r="E335" s="1001"/>
      <c r="F335" s="663" t="s">
        <v>770</v>
      </c>
    </row>
    <row r="336" spans="1:6" ht="21" customHeight="1">
      <c r="A336" s="77"/>
      <c r="B336" s="651" t="str">
        <f>IF(ISBLANK(A337),$A$5,IF(AND(A337=1,A335=1,A333=1,A331=1),$A$1,IF(A337=0,#REF!,$A$5)))</f>
        <v>þ</v>
      </c>
      <c r="C336" s="1002" t="s">
        <v>348</v>
      </c>
      <c r="D336" s="1002"/>
      <c r="E336" s="1003"/>
      <c r="F336" s="663"/>
    </row>
    <row r="337" spans="1:6" ht="109.5" customHeight="1">
      <c r="A337" s="77">
        <v>1</v>
      </c>
      <c r="B337" s="668"/>
      <c r="C337" s="1006" t="s">
        <v>1030</v>
      </c>
      <c r="D337" s="1006"/>
      <c r="E337" s="1007"/>
      <c r="F337" s="956" t="s">
        <v>1031</v>
      </c>
    </row>
    <row r="338" spans="1:6" ht="24" customHeight="1">
      <c r="B338" s="623"/>
      <c r="C338" s="995" t="s">
        <v>744</v>
      </c>
      <c r="D338" s="995"/>
      <c r="E338" s="996"/>
      <c r="F338" s="624" t="s">
        <v>528</v>
      </c>
    </row>
    <row r="339" spans="1:6" ht="27" customHeight="1">
      <c r="A339" s="77">
        <v>1</v>
      </c>
      <c r="B339" s="651" t="str">
        <f>IF(ISBLANK(A339),$A$5,IF(AND(A339=1,A337=1,A335=1,A333=1,A331=1),$A$1,IF(A339=0,#REF!,$A$5)))</f>
        <v>þ</v>
      </c>
      <c r="C339" s="1002" t="s">
        <v>349</v>
      </c>
      <c r="D339" s="1002"/>
      <c r="E339" s="1003"/>
      <c r="F339" s="665"/>
    </row>
    <row r="340" spans="1:6" ht="90" customHeight="1">
      <c r="A340" s="77"/>
      <c r="B340" s="651"/>
      <c r="C340" s="1000" t="s">
        <v>1032</v>
      </c>
      <c r="D340" s="1000"/>
      <c r="E340" s="1001"/>
      <c r="F340" s="955" t="s">
        <v>1033</v>
      </c>
    </row>
    <row r="341" spans="1:6" ht="47.25" customHeight="1">
      <c r="A341" s="77"/>
      <c r="B341" s="651" t="str">
        <f>IF(ISBLANK(A342),$A$5,IF(AND(A342=1,A339=1,A337=1,A335=1,A333=1,A331=1),$A$1,IF(A342=0,#REF!,$A$5)))</f>
        <v>þ</v>
      </c>
      <c r="C341" s="1002" t="s">
        <v>255</v>
      </c>
      <c r="D341" s="1002"/>
      <c r="E341" s="1003"/>
      <c r="F341" s="663"/>
    </row>
    <row r="342" spans="1:6" ht="402" customHeight="1">
      <c r="A342" s="77">
        <v>1</v>
      </c>
      <c r="B342" s="667"/>
      <c r="C342" s="999" t="s">
        <v>1109</v>
      </c>
      <c r="D342" s="999"/>
      <c r="E342" s="1012"/>
      <c r="F342" s="981" t="s">
        <v>1034</v>
      </c>
    </row>
    <row r="343" spans="1:6" ht="66.75" customHeight="1">
      <c r="A343" s="77"/>
      <c r="B343" s="651" t="str">
        <f>IF(ISBLANK(A344),$A$4,IF(AND(A344=1,A342=1,A339=1,A337=1,A335=1,A333=1,A331=1),$A$1,IF(A344=0,$A$3,$A$4)))</f>
        <v>þ</v>
      </c>
      <c r="C343" s="1002" t="s">
        <v>457</v>
      </c>
      <c r="D343" s="1002"/>
      <c r="E343" s="1003"/>
      <c r="F343" s="663"/>
    </row>
    <row r="344" spans="1:6" ht="231" customHeight="1">
      <c r="A344" s="77">
        <v>1</v>
      </c>
      <c r="B344" s="668"/>
      <c r="C344" s="1005" t="s">
        <v>1110</v>
      </c>
      <c r="D344" s="1006"/>
      <c r="E344" s="1007"/>
      <c r="F344" s="631" t="s">
        <v>1035</v>
      </c>
    </row>
    <row r="346" spans="1:6" ht="66" customHeight="1">
      <c r="B346" s="573"/>
      <c r="C346" s="1023" t="s">
        <v>436</v>
      </c>
      <c r="D346" s="1023"/>
      <c r="E346" s="1023"/>
      <c r="F346" s="1023"/>
    </row>
    <row r="347" spans="1:6" ht="23.25">
      <c r="B347" s="647"/>
      <c r="C347" s="618" t="s">
        <v>336</v>
      </c>
      <c r="D347" s="619" t="s">
        <v>525</v>
      </c>
      <c r="E347" s="619" t="s">
        <v>526</v>
      </c>
      <c r="F347" s="619" t="s">
        <v>531</v>
      </c>
    </row>
    <row r="348" spans="1:6" ht="63.75" customHeight="1">
      <c r="B348" s="647"/>
      <c r="C348" s="528" t="s">
        <v>437</v>
      </c>
      <c r="D348" s="701" t="s">
        <v>762</v>
      </c>
      <c r="E348" s="649">
        <f>C355</f>
        <v>35.94</v>
      </c>
      <c r="F348" s="650">
        <f>IF(C355&lt;1,0,IF(AND(C355&gt;=1,C355&lt;25),1,IF(AND(C355&gt;=25,C355&lt;35),2,IF(AND(C355&gt;=35,C355&lt;=100),3,"ข้อมูลไม่ถูกต้อง"))))</f>
        <v>3</v>
      </c>
    </row>
    <row r="349" spans="1:6" ht="10.5" customHeight="1">
      <c r="B349" s="622"/>
      <c r="C349" s="1"/>
      <c r="D349" s="1"/>
      <c r="E349" s="1"/>
      <c r="F349" s="1"/>
    </row>
    <row r="350" spans="1:6" ht="23.25">
      <c r="B350" s="647"/>
      <c r="C350" s="635" t="s">
        <v>106</v>
      </c>
      <c r="D350" s="1027" t="s">
        <v>528</v>
      </c>
      <c r="E350" s="1028"/>
      <c r="F350" s="1029"/>
    </row>
    <row r="351" spans="1:6" ht="19.5" customHeight="1">
      <c r="B351" s="651"/>
      <c r="C351" s="652" t="s">
        <v>809</v>
      </c>
      <c r="D351" s="1026" t="s">
        <v>1067</v>
      </c>
      <c r="E351" s="1017"/>
      <c r="F351" s="1018"/>
    </row>
    <row r="352" spans="1:6" ht="20.25" customHeight="1">
      <c r="B352" s="651"/>
      <c r="C352" s="676" t="s">
        <v>439</v>
      </c>
      <c r="D352" s="1019"/>
      <c r="E352" s="1020"/>
      <c r="F352" s="1021"/>
    </row>
    <row r="353" spans="2:6" ht="42" customHeight="1">
      <c r="B353" s="651"/>
      <c r="C353" s="686" t="str">
        <f>CONCATENATE("อาจารย์ที่ให้บริการทางวิชาการแก่สังคม = ",data1_5.1," คน")</f>
        <v>อาจารย์ที่ให้บริการทางวิชาการแก่สังคม = 202 คน</v>
      </c>
      <c r="D353" s="1019"/>
      <c r="E353" s="1020"/>
      <c r="F353" s="1021"/>
    </row>
    <row r="354" spans="2:6" ht="20.25" customHeight="1">
      <c r="B354" s="651"/>
      <c r="C354" s="699" t="str">
        <f>CONCATENATE("อาจารย์ประจำทั้งหมด = ",data1_2.10," คน")</f>
        <v>อาจารย์ประจำทั้งหมด = 562 คน</v>
      </c>
      <c r="D354" s="1019"/>
      <c r="E354" s="1020"/>
      <c r="F354" s="1021"/>
    </row>
    <row r="355" spans="2:6" ht="22.5">
      <c r="B355" s="629"/>
      <c r="C355" s="685">
        <f>ROUND(data1_5.1*100/data1_2.10,2)</f>
        <v>35.94</v>
      </c>
      <c r="D355" s="1022"/>
      <c r="E355" s="1008"/>
      <c r="F355" s="1009"/>
    </row>
    <row r="356" spans="2:6">
      <c r="F356" s="484"/>
    </row>
    <row r="357" spans="2:6" ht="46.5" customHeight="1">
      <c r="B357" s="573"/>
      <c r="C357" s="1023" t="s">
        <v>3</v>
      </c>
      <c r="D357" s="1023"/>
      <c r="E357" s="1023"/>
      <c r="F357" s="1023"/>
    </row>
    <row r="358" spans="2:6" ht="23.25">
      <c r="B358" s="647"/>
      <c r="C358" s="618" t="s">
        <v>336</v>
      </c>
      <c r="D358" s="619" t="s">
        <v>525</v>
      </c>
      <c r="E358" s="619" t="s">
        <v>526</v>
      </c>
      <c r="F358" s="619" t="s">
        <v>531</v>
      </c>
    </row>
    <row r="359" spans="2:6" ht="90">
      <c r="B359" s="647"/>
      <c r="C359" s="633" t="s">
        <v>4</v>
      </c>
      <c r="D359" s="648" t="s">
        <v>763</v>
      </c>
      <c r="E359" s="702">
        <f>C366</f>
        <v>34.17</v>
      </c>
      <c r="F359" s="650">
        <f>IF(C366&lt;1,0,IF(AND(C366&gt;=1,C366&lt;25),1,IF(AND(C366&gt;=25,C366&lt;40),2,IF(C366&gt;=40,3,"ข้อมูลไม่ถูกต้อง"))))</f>
        <v>2</v>
      </c>
    </row>
    <row r="360" spans="2:6" ht="10.5" customHeight="1">
      <c r="B360" s="622"/>
      <c r="C360" s="1"/>
      <c r="D360" s="1"/>
      <c r="E360" s="1"/>
      <c r="F360" s="1"/>
    </row>
    <row r="361" spans="2:6" ht="23.25">
      <c r="B361" s="647"/>
      <c r="C361" s="635" t="s">
        <v>106</v>
      </c>
      <c r="D361" s="1027" t="s">
        <v>528</v>
      </c>
      <c r="E361" s="1028"/>
      <c r="F361" s="1029"/>
    </row>
    <row r="362" spans="2:6" ht="20.25" customHeight="1">
      <c r="B362" s="651"/>
      <c r="C362" s="580" t="s">
        <v>256</v>
      </c>
      <c r="D362" s="1026" t="s">
        <v>1068</v>
      </c>
      <c r="E362" s="1017"/>
      <c r="F362" s="1018"/>
    </row>
    <row r="363" spans="2:6">
      <c r="B363" s="651"/>
      <c r="C363" s="581" t="s">
        <v>5</v>
      </c>
      <c r="D363" s="1019"/>
      <c r="E363" s="1020"/>
      <c r="F363" s="1021"/>
    </row>
    <row r="364" spans="2:6" ht="42.75" customHeight="1">
      <c r="B364" s="651"/>
      <c r="C364" s="686" t="str">
        <f>CONCATENATE("กิจกรรม/โครงการบริการวิชาการ = ",data1_5.2," โครงการ")</f>
        <v>กิจกรรม/โครงการบริการวิชาการ = 178 โครงการ</v>
      </c>
      <c r="D364" s="1019"/>
      <c r="E364" s="1020"/>
      <c r="F364" s="1021"/>
    </row>
    <row r="365" spans="2:6" ht="22.5">
      <c r="B365" s="651"/>
      <c r="C365" s="699" t="str">
        <f>CONCATENATE("อาจารย์ที่ปฏิบัติงานจริง = ",data1_2.12," คน")</f>
        <v>อาจารย์ที่ปฏิบัติงานจริง = 521 คน</v>
      </c>
      <c r="D365" s="1019"/>
      <c r="E365" s="1020"/>
      <c r="F365" s="1021"/>
    </row>
    <row r="366" spans="2:6" ht="22.5">
      <c r="B366" s="629"/>
      <c r="C366" s="685">
        <f>ROUND(data1_5.2*100/data1_2.12,2)</f>
        <v>34.17</v>
      </c>
      <c r="D366" s="1022"/>
      <c r="E366" s="1008"/>
      <c r="F366" s="1009"/>
    </row>
    <row r="367" spans="2:6">
      <c r="F367" s="484"/>
    </row>
    <row r="368" spans="2:6" ht="21" customHeight="1">
      <c r="B368" s="573"/>
      <c r="C368" s="1023" t="s">
        <v>6</v>
      </c>
      <c r="D368" s="1023"/>
      <c r="E368" s="1023"/>
      <c r="F368" s="1023"/>
    </row>
    <row r="369" spans="2:6" ht="23.25">
      <c r="B369" s="647"/>
      <c r="C369" s="618" t="s">
        <v>336</v>
      </c>
      <c r="D369" s="619" t="s">
        <v>525</v>
      </c>
      <c r="E369" s="619" t="s">
        <v>526</v>
      </c>
      <c r="F369" s="619" t="s">
        <v>531</v>
      </c>
    </row>
    <row r="370" spans="2:6" ht="129" customHeight="1">
      <c r="B370" s="647"/>
      <c r="C370" s="637" t="s">
        <v>504</v>
      </c>
      <c r="D370" s="674">
        <v>4</v>
      </c>
      <c r="E370" s="703">
        <f>C374</f>
        <v>4.1900000000000004</v>
      </c>
      <c r="F370" s="671">
        <v>3</v>
      </c>
    </row>
    <row r="371" spans="2:6" ht="10.5" customHeight="1">
      <c r="B371" s="622"/>
      <c r="C371" s="1"/>
      <c r="D371" s="1"/>
      <c r="E371" s="1"/>
      <c r="F371" s="1"/>
    </row>
    <row r="372" spans="2:6" ht="23.25">
      <c r="B372" s="647"/>
      <c r="C372" s="635" t="s">
        <v>526</v>
      </c>
      <c r="D372" s="1027" t="s">
        <v>528</v>
      </c>
      <c r="E372" s="1028"/>
      <c r="F372" s="1029"/>
    </row>
    <row r="373" spans="2:6" ht="22.5">
      <c r="B373" s="651"/>
      <c r="C373" s="676" t="s">
        <v>428</v>
      </c>
      <c r="D373" s="1026" t="s">
        <v>219</v>
      </c>
      <c r="E373" s="1017"/>
      <c r="F373" s="1018"/>
    </row>
    <row r="374" spans="2:6" ht="22.5">
      <c r="B374" s="629"/>
      <c r="C374" s="685">
        <f>ROUND(data1_5.4,2)</f>
        <v>4.1900000000000004</v>
      </c>
      <c r="D374" s="1022"/>
      <c r="E374" s="1008"/>
      <c r="F374" s="1009"/>
    </row>
    <row r="375" spans="2:6" ht="43.5" customHeight="1">
      <c r="B375" s="700"/>
      <c r="C375" s="1084" t="s">
        <v>1072</v>
      </c>
      <c r="D375" s="1084"/>
      <c r="E375" s="1084"/>
      <c r="F375" s="1084"/>
    </row>
    <row r="377" spans="2:6" ht="21" customHeight="1">
      <c r="B377" s="573"/>
      <c r="C377" s="1023" t="s">
        <v>7</v>
      </c>
      <c r="D377" s="1023"/>
      <c r="E377" s="1023"/>
      <c r="F377" s="1023"/>
    </row>
    <row r="378" spans="2:6" ht="23.25">
      <c r="B378" s="647"/>
      <c r="C378" s="618" t="s">
        <v>336</v>
      </c>
      <c r="D378" s="619" t="s">
        <v>525</v>
      </c>
      <c r="E378" s="619" t="s">
        <v>526</v>
      </c>
      <c r="F378" s="619" t="s">
        <v>531</v>
      </c>
    </row>
    <row r="379" spans="2:6" ht="65.25">
      <c r="B379" s="647"/>
      <c r="C379" s="528" t="s">
        <v>8</v>
      </c>
      <c r="D379" s="648" t="s">
        <v>764</v>
      </c>
      <c r="E379" s="704" t="str">
        <f>CONCATENATE(C383," แหล่ง ")</f>
        <v xml:space="preserve">6 แหล่ง </v>
      </c>
      <c r="F379" s="650">
        <f>IF(C383&lt;1,0,IF(AND(C383&gt;=1,C383&lt;3),1,IF(C383=3,2,IF(C383&gt;=4,3,"ข้อมูลไม่ถูกต้อง"))))</f>
        <v>3</v>
      </c>
    </row>
    <row r="380" spans="2:6" ht="10.5" customHeight="1">
      <c r="B380" s="622"/>
      <c r="C380" s="1"/>
      <c r="D380" s="1"/>
      <c r="E380" s="1"/>
      <c r="F380" s="1"/>
    </row>
    <row r="381" spans="2:6" ht="23.25">
      <c r="B381" s="647"/>
      <c r="C381" s="635" t="s">
        <v>526</v>
      </c>
      <c r="D381" s="1027" t="s">
        <v>528</v>
      </c>
      <c r="E381" s="1028"/>
      <c r="F381" s="1029"/>
    </row>
    <row r="382" spans="2:6" ht="70.5" customHeight="1">
      <c r="B382" s="651"/>
      <c r="C382" s="676" t="s">
        <v>271</v>
      </c>
      <c r="D382" s="1043" t="s">
        <v>172</v>
      </c>
      <c r="E382" s="1044"/>
      <c r="F382" s="1045"/>
    </row>
    <row r="383" spans="2:6" ht="66.75" customHeight="1">
      <c r="B383" s="629"/>
      <c r="C383" s="705">
        <f>data1_5.3</f>
        <v>6</v>
      </c>
      <c r="D383" s="1047"/>
      <c r="E383" s="1006"/>
      <c r="F383" s="1007"/>
    </row>
    <row r="385" spans="1:6" ht="26.25">
      <c r="B385" s="328"/>
      <c r="C385" s="611" t="s">
        <v>272</v>
      </c>
    </row>
    <row r="386" spans="1:6" ht="23.25">
      <c r="C386" s="2"/>
    </row>
    <row r="387" spans="1:6" ht="21" customHeight="1">
      <c r="B387" s="573"/>
      <c r="C387" s="1004" t="s">
        <v>273</v>
      </c>
      <c r="D387" s="1004"/>
      <c r="E387" s="1004"/>
      <c r="F387" s="1004"/>
    </row>
    <row r="388" spans="1:6" ht="23.25">
      <c r="B388" s="647"/>
      <c r="C388" s="618" t="s">
        <v>336</v>
      </c>
      <c r="D388" s="619" t="s">
        <v>525</v>
      </c>
      <c r="E388" s="619" t="s">
        <v>526</v>
      </c>
      <c r="F388" s="619" t="s">
        <v>531</v>
      </c>
    </row>
    <row r="389" spans="1:6" ht="61.5" customHeight="1">
      <c r="B389" s="647"/>
      <c r="C389" s="528" t="s">
        <v>32</v>
      </c>
      <c r="D389" s="648" t="s">
        <v>48</v>
      </c>
      <c r="E389" s="621" t="str">
        <f>CONCATENATE("ระดับ ",COUNTIF(B392:B403,$A$1))</f>
        <v>ระดับ 6</v>
      </c>
      <c r="F389" s="621">
        <v>3</v>
      </c>
    </row>
    <row r="390" spans="1:6" ht="10.5" customHeight="1">
      <c r="B390" s="622"/>
      <c r="C390" s="1"/>
      <c r="D390" s="1"/>
      <c r="E390" s="1"/>
      <c r="F390" s="1"/>
    </row>
    <row r="391" spans="1:6" ht="24" customHeight="1">
      <c r="B391" s="623"/>
      <c r="C391" s="995" t="s">
        <v>744</v>
      </c>
      <c r="D391" s="995"/>
      <c r="E391" s="996"/>
      <c r="F391" s="624" t="s">
        <v>528</v>
      </c>
    </row>
    <row r="392" spans="1:6" ht="22.5" customHeight="1">
      <c r="B392" s="651" t="str">
        <f>IF(ISBLANK(A393),$A$5,IF(A393=1,$A$1,IF(A393=0,#REF!,$A$5)))</f>
        <v>þ</v>
      </c>
      <c r="C392" s="997" t="s">
        <v>458</v>
      </c>
      <c r="D392" s="997"/>
      <c r="E392" s="998"/>
      <c r="F392" s="658"/>
    </row>
    <row r="393" spans="1:6" ht="156" customHeight="1">
      <c r="A393" s="77">
        <v>1</v>
      </c>
      <c r="B393" s="667"/>
      <c r="C393" s="999" t="s">
        <v>924</v>
      </c>
      <c r="D393" s="1000"/>
      <c r="E393" s="1001"/>
      <c r="F393" s="780" t="s">
        <v>899</v>
      </c>
    </row>
    <row r="394" spans="1:6" ht="44.25" customHeight="1">
      <c r="A394" s="77"/>
      <c r="B394" s="651" t="str">
        <f>IF(ISBLANK(A395),$A$5,IF(AND(A395=1,A393=1),$A$1,IF(A395=0,#REF!,$A$5)))</f>
        <v>þ</v>
      </c>
      <c r="C394" s="1002" t="s">
        <v>459</v>
      </c>
      <c r="D394" s="1002"/>
      <c r="E394" s="1003"/>
      <c r="F394" s="781"/>
    </row>
    <row r="395" spans="1:6" ht="87" customHeight="1">
      <c r="A395" s="77">
        <v>1</v>
      </c>
      <c r="B395" s="667"/>
      <c r="C395" s="999" t="s">
        <v>1018</v>
      </c>
      <c r="D395" s="1000"/>
      <c r="E395" s="1001"/>
      <c r="F395" s="946" t="s">
        <v>1019</v>
      </c>
    </row>
    <row r="396" spans="1:6" ht="23.25">
      <c r="A396" s="77"/>
      <c r="B396" s="651" t="str">
        <f>IF(ISBLANK(A397),$A$5,IF(AND(A397=1,A395=1,A393=1),$A$1,IF(A397=0,#REF!,$A$5)))</f>
        <v>þ</v>
      </c>
      <c r="C396" s="1002" t="s">
        <v>460</v>
      </c>
      <c r="D396" s="1002"/>
      <c r="E396" s="1003"/>
      <c r="F396" s="781"/>
    </row>
    <row r="397" spans="1:6" ht="178.5" customHeight="1">
      <c r="A397" s="77">
        <v>1</v>
      </c>
      <c r="B397" s="668"/>
      <c r="C397" s="1086" t="s">
        <v>1020</v>
      </c>
      <c r="D397" s="1086"/>
      <c r="E397" s="1087"/>
      <c r="F397" s="764" t="s">
        <v>900</v>
      </c>
    </row>
    <row r="398" spans="1:6" ht="24" customHeight="1">
      <c r="B398" s="623"/>
      <c r="C398" s="995" t="s">
        <v>744</v>
      </c>
      <c r="D398" s="995"/>
      <c r="E398" s="996"/>
      <c r="F398" s="624" t="s">
        <v>528</v>
      </c>
    </row>
    <row r="399" spans="1:6" ht="91.5" customHeight="1">
      <c r="A399" s="77"/>
      <c r="B399" s="651" t="str">
        <f>IF(ISBLANK(A400),$A$5,IF(AND(A400=1,A397=1,A395=1,A393=1),$A$1,IF(A400=0,#REF!,$A$5)))</f>
        <v>þ</v>
      </c>
      <c r="C399" s="1002" t="s">
        <v>461</v>
      </c>
      <c r="D399" s="1002"/>
      <c r="E399" s="1003"/>
      <c r="F399" s="781"/>
    </row>
    <row r="400" spans="1:6" ht="164.25" customHeight="1">
      <c r="A400" s="77">
        <v>1</v>
      </c>
      <c r="B400" s="667"/>
      <c r="C400" s="1000" t="s">
        <v>1111</v>
      </c>
      <c r="D400" s="1000"/>
      <c r="E400" s="1001"/>
      <c r="F400" s="781" t="s">
        <v>901</v>
      </c>
    </row>
    <row r="401" spans="1:6" ht="46.5" customHeight="1">
      <c r="A401" s="77"/>
      <c r="B401" s="651" t="str">
        <f>IF(ISBLANK(A402),$A$5,IF(AND(A402=1,A400=1,A397=1,A395=1,A393=1),$A$1,IF(A402=0,#REF!,$A$5)))</f>
        <v>þ</v>
      </c>
      <c r="C401" s="1002" t="s">
        <v>462</v>
      </c>
      <c r="D401" s="1002"/>
      <c r="E401" s="1003"/>
      <c r="F401" s="781"/>
    </row>
    <row r="402" spans="1:6" ht="114.75" customHeight="1">
      <c r="A402" s="77">
        <v>1</v>
      </c>
      <c r="B402" s="667"/>
      <c r="C402" s="1000" t="s">
        <v>925</v>
      </c>
      <c r="D402" s="1000"/>
      <c r="E402" s="1001"/>
      <c r="F402" s="781" t="s">
        <v>49</v>
      </c>
    </row>
    <row r="403" spans="1:6" ht="90" customHeight="1">
      <c r="A403" s="77"/>
      <c r="B403" s="651" t="str">
        <f>IF(ISBLANK(A404),$A$5,IF(AND(A404=1,A402=1,A400=1,A397=1,A395=1,A393=1),$A$1,IF(A404=0,#REF!,$A$5)))</f>
        <v>þ</v>
      </c>
      <c r="C403" s="1002" t="s">
        <v>608</v>
      </c>
      <c r="D403" s="1002"/>
      <c r="E403" s="1003"/>
      <c r="F403" s="663"/>
    </row>
    <row r="404" spans="1:6" ht="252.75" customHeight="1">
      <c r="A404" s="77">
        <v>1</v>
      </c>
      <c r="B404" s="668"/>
      <c r="C404" s="1005" t="s">
        <v>926</v>
      </c>
      <c r="D404" s="1005"/>
      <c r="E404" s="1011"/>
      <c r="F404" s="631" t="s">
        <v>84</v>
      </c>
    </row>
    <row r="405" spans="1:6" ht="21.75">
      <c r="B405" s="573"/>
      <c r="C405" s="574"/>
      <c r="D405" s="574"/>
      <c r="E405" s="574"/>
      <c r="F405" s="574"/>
    </row>
    <row r="406" spans="1:6" ht="26.25">
      <c r="C406" s="614" t="s">
        <v>747</v>
      </c>
    </row>
    <row r="407" spans="1:6" ht="6" customHeight="1">
      <c r="C407" s="2"/>
    </row>
    <row r="408" spans="1:6" ht="42.75" customHeight="1">
      <c r="B408" s="573"/>
      <c r="C408" s="1004" t="s">
        <v>515</v>
      </c>
      <c r="D408" s="1004"/>
      <c r="E408" s="1004"/>
      <c r="F408" s="1004"/>
    </row>
    <row r="409" spans="1:6" ht="23.25">
      <c r="B409" s="647"/>
      <c r="C409" s="618" t="s">
        <v>336</v>
      </c>
      <c r="D409" s="619" t="s">
        <v>525</v>
      </c>
      <c r="E409" s="619" t="s">
        <v>526</v>
      </c>
      <c r="F409" s="619" t="s">
        <v>531</v>
      </c>
    </row>
    <row r="410" spans="1:6" ht="67.5">
      <c r="B410" s="647"/>
      <c r="C410" s="633" t="s">
        <v>107</v>
      </c>
      <c r="D410" s="648" t="s">
        <v>33</v>
      </c>
      <c r="E410" s="650" t="s">
        <v>38</v>
      </c>
      <c r="F410" s="650">
        <v>2</v>
      </c>
    </row>
    <row r="411" spans="1:6" ht="3.75" customHeight="1">
      <c r="B411" s="622"/>
      <c r="C411" s="1"/>
      <c r="D411" s="1"/>
      <c r="E411" s="1"/>
      <c r="F411" s="1"/>
    </row>
    <row r="412" spans="1:6" ht="23.25">
      <c r="B412" s="623"/>
      <c r="C412" s="995" t="s">
        <v>744</v>
      </c>
      <c r="D412" s="995"/>
      <c r="E412" s="996"/>
      <c r="F412" s="624" t="s">
        <v>528</v>
      </c>
    </row>
    <row r="413" spans="1:6" ht="41.25" customHeight="1">
      <c r="B413" s="651" t="str">
        <f>IF(ISBLANK(A414),$A$5,IF(A414=1,$A$1,IF(A414=0,#REF!,$A$5)))</f>
        <v>þ</v>
      </c>
      <c r="C413" s="997" t="s">
        <v>609</v>
      </c>
      <c r="D413" s="997"/>
      <c r="E413" s="998"/>
      <c r="F413" s="658"/>
    </row>
    <row r="414" spans="1:6" ht="387.75" customHeight="1">
      <c r="A414" s="77">
        <v>1</v>
      </c>
      <c r="B414" s="667"/>
      <c r="C414" s="999" t="s">
        <v>1074</v>
      </c>
      <c r="D414" s="1000"/>
      <c r="E414" s="1001"/>
      <c r="F414" s="795" t="s">
        <v>1073</v>
      </c>
    </row>
    <row r="415" spans="1:6" ht="267" customHeight="1">
      <c r="A415" s="77"/>
      <c r="B415" s="668"/>
      <c r="C415" s="777"/>
      <c r="D415" s="778"/>
      <c r="E415" s="779"/>
      <c r="F415" s="731" t="s">
        <v>911</v>
      </c>
    </row>
    <row r="416" spans="1:6" ht="23.25">
      <c r="B416" s="623"/>
      <c r="C416" s="995" t="s">
        <v>744</v>
      </c>
      <c r="D416" s="995"/>
      <c r="E416" s="996"/>
      <c r="F416" s="624" t="s">
        <v>528</v>
      </c>
    </row>
    <row r="417" spans="1:6" ht="42.75" customHeight="1">
      <c r="A417" s="77"/>
      <c r="B417" s="798" t="s">
        <v>745</v>
      </c>
      <c r="C417" s="1002" t="s">
        <v>610</v>
      </c>
      <c r="D417" s="1002"/>
      <c r="E417" s="1003"/>
      <c r="F417" s="706"/>
    </row>
    <row r="418" spans="1:6" ht="88.5" customHeight="1">
      <c r="A418" s="77"/>
      <c r="B418" s="990"/>
      <c r="C418" s="1033" t="s">
        <v>927</v>
      </c>
      <c r="D418" s="1034"/>
      <c r="E418" s="1035"/>
      <c r="F418" s="795" t="s">
        <v>928</v>
      </c>
    </row>
    <row r="419" spans="1:6" ht="70.5" customHeight="1">
      <c r="A419" s="77">
        <v>0</v>
      </c>
      <c r="B419" s="695" t="s">
        <v>64</v>
      </c>
      <c r="C419" s="1002" t="s">
        <v>212</v>
      </c>
      <c r="D419" s="1002"/>
      <c r="E419" s="1003"/>
      <c r="F419" s="665"/>
    </row>
    <row r="420" spans="1:6" ht="128.25" customHeight="1">
      <c r="A420" s="77"/>
      <c r="B420" s="667"/>
      <c r="C420" s="1033" t="s">
        <v>912</v>
      </c>
      <c r="D420" s="1034"/>
      <c r="E420" s="1035"/>
      <c r="F420" s="706" t="s">
        <v>869</v>
      </c>
    </row>
    <row r="421" spans="1:6" ht="42.75" customHeight="1">
      <c r="A421" s="77"/>
      <c r="B421" s="651" t="str">
        <f>IF(ISBLANK(A422),$A$5,IF(A422=1,$A$1,IF(A422=0,#REF!,$A$5)))</f>
        <v>þ</v>
      </c>
      <c r="C421" s="1002" t="s">
        <v>213</v>
      </c>
      <c r="D421" s="1002"/>
      <c r="E421" s="1003"/>
      <c r="F421" s="707"/>
    </row>
    <row r="422" spans="1:6" ht="259.5" customHeight="1">
      <c r="A422" s="77">
        <v>1</v>
      </c>
      <c r="B422" s="667"/>
      <c r="C422" s="1000" t="s">
        <v>1075</v>
      </c>
      <c r="D422" s="1000"/>
      <c r="E422" s="1001"/>
      <c r="F422" s="982" t="s">
        <v>1076</v>
      </c>
    </row>
    <row r="423" spans="1:6" ht="46.5" customHeight="1">
      <c r="A423" s="77"/>
      <c r="B423" s="651" t="str">
        <f>IF(ISBLANK(A424),$A$5,IF(A424=1,$A$1,IF(A424=0,#REF!,$A$5)))</f>
        <v>þ</v>
      </c>
      <c r="C423" s="1002" t="s">
        <v>214</v>
      </c>
      <c r="D423" s="1002"/>
      <c r="E423" s="1003"/>
      <c r="F423" s="730"/>
    </row>
    <row r="424" spans="1:6" ht="181.5" customHeight="1">
      <c r="A424" s="77">
        <v>1</v>
      </c>
      <c r="B424" s="668"/>
      <c r="C424" s="1006" t="s">
        <v>1077</v>
      </c>
      <c r="D424" s="1006"/>
      <c r="E424" s="1007"/>
      <c r="F424" s="631" t="s">
        <v>902</v>
      </c>
    </row>
    <row r="426" spans="1:6" ht="27.75" customHeight="1">
      <c r="B426" s="573"/>
      <c r="C426" s="1004" t="s">
        <v>516</v>
      </c>
      <c r="D426" s="1004"/>
      <c r="E426" s="1004"/>
      <c r="F426" s="1004"/>
    </row>
    <row r="427" spans="1:6" ht="23.25">
      <c r="B427" s="647"/>
      <c r="C427" s="618" t="s">
        <v>336</v>
      </c>
      <c r="D427" s="619" t="s">
        <v>525</v>
      </c>
      <c r="E427" s="619" t="s">
        <v>526</v>
      </c>
      <c r="F427" s="619" t="s">
        <v>531</v>
      </c>
    </row>
    <row r="428" spans="1:6" ht="65.25" customHeight="1">
      <c r="B428" s="647"/>
      <c r="C428" s="528" t="s">
        <v>100</v>
      </c>
      <c r="D428" s="648" t="s">
        <v>36</v>
      </c>
      <c r="E428" s="994" t="s">
        <v>36</v>
      </c>
      <c r="F428" s="994">
        <v>3</v>
      </c>
    </row>
    <row r="429" spans="1:6" ht="10.5" customHeight="1">
      <c r="B429" s="622"/>
      <c r="C429" s="1"/>
      <c r="D429" s="1"/>
      <c r="E429" s="1"/>
      <c r="F429" s="1"/>
    </row>
    <row r="430" spans="1:6" ht="23.25">
      <c r="B430" s="623"/>
      <c r="C430" s="995" t="s">
        <v>744</v>
      </c>
      <c r="D430" s="995"/>
      <c r="E430" s="996"/>
      <c r="F430" s="624" t="s">
        <v>528</v>
      </c>
    </row>
    <row r="431" spans="1:6" ht="22.5" customHeight="1">
      <c r="B431" s="651" t="str">
        <f>IF(ISBLANK(A432),$A$5,IF(A432=1,$A$1,IF(A432=0,#REF!,$A$5)))</f>
        <v>þ</v>
      </c>
      <c r="C431" s="997" t="s">
        <v>215</v>
      </c>
      <c r="D431" s="997"/>
      <c r="E431" s="998"/>
      <c r="F431" s="658"/>
    </row>
    <row r="432" spans="1:6" ht="112.5" customHeight="1">
      <c r="A432" s="77">
        <v>1</v>
      </c>
      <c r="B432" s="667"/>
      <c r="C432" s="1000" t="s">
        <v>142</v>
      </c>
      <c r="D432" s="1000"/>
      <c r="E432" s="1001"/>
      <c r="F432" s="663" t="s">
        <v>85</v>
      </c>
    </row>
    <row r="433" spans="1:6" ht="45" customHeight="1">
      <c r="A433" s="77"/>
      <c r="B433" s="651" t="str">
        <f>IF(ISBLANK(A434),$A$5,IF(AND(A434=1,A432=1),$A$1,IF(A434=0,#REF!,$A$5)))</f>
        <v>þ</v>
      </c>
      <c r="C433" s="1002" t="s">
        <v>216</v>
      </c>
      <c r="D433" s="1002"/>
      <c r="E433" s="1003"/>
      <c r="F433" s="663"/>
    </row>
    <row r="434" spans="1:6" ht="246.75" customHeight="1">
      <c r="A434" s="77">
        <v>1</v>
      </c>
      <c r="B434" s="667"/>
      <c r="C434" s="999" t="s">
        <v>300</v>
      </c>
      <c r="D434" s="999"/>
      <c r="E434" s="1012"/>
      <c r="F434" s="981" t="s">
        <v>141</v>
      </c>
    </row>
    <row r="435" spans="1:6" ht="44.25" customHeight="1">
      <c r="A435" s="77"/>
      <c r="B435" s="651" t="str">
        <f>IF(ISBLANK(A436),$A$5,IF(AND(A436=1,A434=1,A432=1),$A$1,IF(A436=0,#REF!,$A$5)))</f>
        <v>þ</v>
      </c>
      <c r="C435" s="1002" t="s">
        <v>217</v>
      </c>
      <c r="D435" s="1002"/>
      <c r="E435" s="1003"/>
      <c r="F435" s="663"/>
    </row>
    <row r="436" spans="1:6" ht="159.75" customHeight="1">
      <c r="A436" s="77">
        <v>1</v>
      </c>
      <c r="B436" s="668"/>
      <c r="C436" s="1006" t="s">
        <v>1144</v>
      </c>
      <c r="D436" s="1006"/>
      <c r="E436" s="1007"/>
      <c r="F436" s="631" t="s">
        <v>86</v>
      </c>
    </row>
    <row r="437" spans="1:6" ht="23.25">
      <c r="B437" s="623"/>
      <c r="C437" s="995" t="s">
        <v>744</v>
      </c>
      <c r="D437" s="995"/>
      <c r="E437" s="996"/>
      <c r="F437" s="624" t="s">
        <v>528</v>
      </c>
    </row>
    <row r="438" spans="1:6" ht="42.75" customHeight="1">
      <c r="A438" s="77"/>
      <c r="B438" s="798" t="s">
        <v>745</v>
      </c>
      <c r="C438" s="997" t="s">
        <v>658</v>
      </c>
      <c r="D438" s="997"/>
      <c r="E438" s="998"/>
      <c r="F438" s="630"/>
    </row>
    <row r="439" spans="1:6" ht="338.25" customHeight="1">
      <c r="A439" s="77">
        <v>0</v>
      </c>
      <c r="B439" s="668"/>
      <c r="C439" s="1008" t="s">
        <v>1143</v>
      </c>
      <c r="D439" s="1008"/>
      <c r="E439" s="1009"/>
      <c r="F439" s="953" t="s">
        <v>1089</v>
      </c>
    </row>
    <row r="440" spans="1:6">
      <c r="B440" s="582"/>
    </row>
    <row r="441" spans="1:6" ht="21" customHeight="1">
      <c r="B441" s="583"/>
      <c r="C441" s="1004" t="s">
        <v>517</v>
      </c>
      <c r="D441" s="1004"/>
      <c r="E441" s="1004"/>
      <c r="F441" s="1004"/>
    </row>
    <row r="442" spans="1:6" ht="23.25">
      <c r="B442" s="629"/>
      <c r="C442" s="618" t="s">
        <v>336</v>
      </c>
      <c r="D442" s="619" t="s">
        <v>525</v>
      </c>
      <c r="E442" s="619" t="s">
        <v>526</v>
      </c>
      <c r="F442" s="619" t="s">
        <v>531</v>
      </c>
    </row>
    <row r="443" spans="1:6" ht="65.25" customHeight="1">
      <c r="B443" s="629"/>
      <c r="C443" s="528" t="s">
        <v>32</v>
      </c>
      <c r="D443" s="648" t="s">
        <v>47</v>
      </c>
      <c r="E443" s="769" t="s">
        <v>47</v>
      </c>
      <c r="F443" s="769">
        <v>3</v>
      </c>
    </row>
    <row r="444" spans="1:6" ht="10.5" customHeight="1">
      <c r="B444" s="622"/>
      <c r="C444" s="1"/>
      <c r="D444" s="1"/>
      <c r="E444" s="1"/>
      <c r="F444" s="1"/>
    </row>
    <row r="445" spans="1:6" ht="23.25">
      <c r="B445" s="623"/>
      <c r="C445" s="995" t="s">
        <v>744</v>
      </c>
      <c r="D445" s="995"/>
      <c r="E445" s="996"/>
      <c r="F445" s="624" t="s">
        <v>528</v>
      </c>
    </row>
    <row r="446" spans="1:6" ht="45.75" customHeight="1">
      <c r="B446" s="626" t="str">
        <f>IF(ISBLANK(A447),$A$6,IF(A447=1,$A$1,IF(A447=0,$A$5,$A$6)))</f>
        <v>þ</v>
      </c>
      <c r="C446" s="997" t="s">
        <v>659</v>
      </c>
      <c r="D446" s="997"/>
      <c r="E446" s="998"/>
      <c r="F446" s="658"/>
    </row>
    <row r="447" spans="1:6" ht="409.5" customHeight="1">
      <c r="A447" s="77">
        <v>1</v>
      </c>
      <c r="B447" s="668"/>
      <c r="C447" s="1006" t="s">
        <v>1078</v>
      </c>
      <c r="D447" s="1006"/>
      <c r="E447" s="1007"/>
      <c r="F447" s="631" t="s">
        <v>1079</v>
      </c>
    </row>
    <row r="448" spans="1:6" ht="23.25">
      <c r="B448" s="623"/>
      <c r="C448" s="995" t="s">
        <v>744</v>
      </c>
      <c r="D448" s="995"/>
      <c r="E448" s="996"/>
      <c r="F448" s="624" t="s">
        <v>528</v>
      </c>
    </row>
    <row r="449" spans="1:6" ht="51.75" customHeight="1">
      <c r="A449" s="77">
        <v>1</v>
      </c>
      <c r="B449" s="626" t="str">
        <f>IF(ISBLANK(A449),$A$6,IF(AND(A449=1,A447=1),$A$1,IF(A449=0,$A$5,$A$6)))</f>
        <v>þ</v>
      </c>
      <c r="C449" s="997" t="s">
        <v>502</v>
      </c>
      <c r="D449" s="997"/>
      <c r="E449" s="998"/>
      <c r="F449" s="1024" t="s">
        <v>1086</v>
      </c>
    </row>
    <row r="450" spans="1:6" ht="48.75" customHeight="1">
      <c r="A450" s="77"/>
      <c r="B450" s="651" t="str">
        <f>IF(ISBLANK(A451),$A$6,IF(AND(A451=1,A449=1,A447=1),$A$1,IF(A451=0,$A$5,$A$6)))</f>
        <v>þ</v>
      </c>
      <c r="C450" s="1002" t="s">
        <v>503</v>
      </c>
      <c r="D450" s="1002"/>
      <c r="E450" s="1003"/>
      <c r="F450" s="1025"/>
    </row>
    <row r="451" spans="1:6" ht="243.75" customHeight="1">
      <c r="A451" s="77">
        <v>1</v>
      </c>
      <c r="B451" s="667"/>
      <c r="C451" s="1000" t="s">
        <v>1085</v>
      </c>
      <c r="D451" s="1000"/>
      <c r="E451" s="1001"/>
      <c r="F451" s="1025"/>
    </row>
    <row r="452" spans="1:6" ht="292.5" customHeight="1">
      <c r="A452" s="77"/>
      <c r="B452" s="667"/>
      <c r="C452" s="1000" t="s">
        <v>1087</v>
      </c>
      <c r="D452" s="1000"/>
      <c r="E452" s="1001"/>
      <c r="F452" s="1025"/>
    </row>
    <row r="453" spans="1:6" ht="26.25" customHeight="1">
      <c r="A453" s="77"/>
      <c r="B453" s="651" t="str">
        <f>IF(ISBLANK(A454),$A$6,IF(AND(A454=1,A451=1,A449=1,A447=1),$A$1,IF(A454=0,$A$5,$A$6)))</f>
        <v>þ</v>
      </c>
      <c r="C453" s="1002" t="s">
        <v>29</v>
      </c>
      <c r="D453" s="1002"/>
      <c r="E453" s="1003"/>
      <c r="F453" s="663"/>
    </row>
    <row r="454" spans="1:6" ht="88.5" customHeight="1">
      <c r="A454" s="77">
        <v>1</v>
      </c>
      <c r="B454" s="629"/>
      <c r="C454" s="1006" t="s">
        <v>1088</v>
      </c>
      <c r="D454" s="1006"/>
      <c r="E454" s="1007"/>
      <c r="F454" s="764" t="s">
        <v>929</v>
      </c>
    </row>
    <row r="455" spans="1:6" ht="23.25">
      <c r="B455" s="623"/>
      <c r="C455" s="995" t="s">
        <v>744</v>
      </c>
      <c r="D455" s="995"/>
      <c r="E455" s="996"/>
      <c r="F455" s="624" t="s">
        <v>528</v>
      </c>
    </row>
    <row r="456" spans="1:6" ht="49.5" customHeight="1">
      <c r="A456" s="77"/>
      <c r="B456" s="657" t="s">
        <v>745</v>
      </c>
      <c r="C456" s="997" t="s">
        <v>30</v>
      </c>
      <c r="D456" s="997"/>
      <c r="E456" s="998"/>
      <c r="F456" s="780"/>
    </row>
    <row r="457" spans="1:6" ht="335.25" customHeight="1">
      <c r="A457" s="610">
        <v>1</v>
      </c>
      <c r="B457" s="629"/>
      <c r="C457" s="1005" t="s">
        <v>1149</v>
      </c>
      <c r="D457" s="1005"/>
      <c r="E457" s="1011"/>
      <c r="F457" s="631" t="s">
        <v>990</v>
      </c>
    </row>
    <row r="459" spans="1:6" ht="42" customHeight="1">
      <c r="B459" s="573"/>
      <c r="C459" s="1023" t="s">
        <v>518</v>
      </c>
      <c r="D459" s="1023"/>
      <c r="E459" s="1023"/>
      <c r="F459" s="1023"/>
    </row>
    <row r="460" spans="1:6" ht="23.25">
      <c r="B460" s="647"/>
      <c r="C460" s="618" t="s">
        <v>336</v>
      </c>
      <c r="D460" s="619" t="s">
        <v>525</v>
      </c>
      <c r="E460" s="619" t="s">
        <v>526</v>
      </c>
      <c r="F460" s="619" t="s">
        <v>531</v>
      </c>
    </row>
    <row r="461" spans="1:6" ht="62.25" customHeight="1">
      <c r="B461" s="647"/>
      <c r="C461" s="528" t="s">
        <v>519</v>
      </c>
      <c r="D461" s="648" t="s">
        <v>48</v>
      </c>
      <c r="E461" s="769" t="str">
        <f>CONCATENATE("ระดับ ",COUNTIF(B464:B475,$A$1))</f>
        <v>ระดับ 6</v>
      </c>
      <c r="F461" s="769">
        <v>3</v>
      </c>
    </row>
    <row r="462" spans="1:6" ht="10.5" customHeight="1">
      <c r="B462" s="622"/>
      <c r="C462" s="1"/>
      <c r="D462" s="1"/>
      <c r="E462" s="1"/>
      <c r="F462" s="1"/>
    </row>
    <row r="463" spans="1:6" ht="23.25">
      <c r="B463" s="623"/>
      <c r="C463" s="995" t="s">
        <v>744</v>
      </c>
      <c r="D463" s="995"/>
      <c r="E463" s="996"/>
      <c r="F463" s="624" t="s">
        <v>528</v>
      </c>
    </row>
    <row r="464" spans="1:6" ht="45.75" customHeight="1">
      <c r="B464" s="651" t="str">
        <f>IF(ISBLANK(A465),$A$5,IF(A465=1,$A$1,IF(A465=0,#REF!,$A$5)))</f>
        <v>þ</v>
      </c>
      <c r="C464" s="997" t="s">
        <v>31</v>
      </c>
      <c r="D464" s="997"/>
      <c r="E464" s="998"/>
      <c r="F464" s="658"/>
    </row>
    <row r="465" spans="1:6" ht="159" customHeight="1">
      <c r="A465" s="77">
        <v>1</v>
      </c>
      <c r="B465" s="667"/>
      <c r="C465" s="1000" t="s">
        <v>1080</v>
      </c>
      <c r="D465" s="1000"/>
      <c r="E465" s="1001"/>
      <c r="F465" s="663" t="s">
        <v>564</v>
      </c>
    </row>
    <row r="466" spans="1:6" ht="45" customHeight="1">
      <c r="A466" s="77"/>
      <c r="B466" s="651" t="str">
        <f>IF(ISBLANK(A467),$A$5,IF(AND(A467=1,A465=1),$A$1,IF(A467=0,#REF!,$A$5)))</f>
        <v>þ</v>
      </c>
      <c r="C466" s="1002" t="s">
        <v>463</v>
      </c>
      <c r="D466" s="1002"/>
      <c r="E466" s="1003"/>
      <c r="F466" s="663"/>
    </row>
    <row r="467" spans="1:6" ht="135" customHeight="1">
      <c r="A467" s="77">
        <v>1</v>
      </c>
      <c r="B467" s="667"/>
      <c r="C467" s="1000" t="s">
        <v>563</v>
      </c>
      <c r="D467" s="1000"/>
      <c r="E467" s="1001"/>
      <c r="F467" s="663" t="s">
        <v>565</v>
      </c>
    </row>
    <row r="468" spans="1:6" ht="45" customHeight="1">
      <c r="A468" s="77"/>
      <c r="B468" s="651" t="str">
        <f>IF(ISBLANK(A469),$A$5,IF(AND(A469=1,A467=1,A465=1),$A$1,IF(A469=0,#REF!,$A$5)))</f>
        <v>þ</v>
      </c>
      <c r="C468" s="1002" t="s">
        <v>188</v>
      </c>
      <c r="D468" s="1002"/>
      <c r="E468" s="1003"/>
      <c r="F468" s="663"/>
    </row>
    <row r="469" spans="1:6" ht="135.75" customHeight="1">
      <c r="A469" s="77">
        <v>1</v>
      </c>
      <c r="B469" s="668"/>
      <c r="C469" s="1006" t="s">
        <v>1081</v>
      </c>
      <c r="D469" s="1006"/>
      <c r="E469" s="1007"/>
      <c r="F469" s="631" t="s">
        <v>562</v>
      </c>
    </row>
    <row r="470" spans="1:6" ht="23.25">
      <c r="B470" s="623"/>
      <c r="C470" s="995" t="s">
        <v>744</v>
      </c>
      <c r="D470" s="995"/>
      <c r="E470" s="996"/>
      <c r="F470" s="624" t="s">
        <v>528</v>
      </c>
    </row>
    <row r="471" spans="1:6" ht="44.25" customHeight="1">
      <c r="A471" s="77"/>
      <c r="B471" s="651" t="str">
        <f>IF(ISBLANK(A472),$A$5,IF(AND(A472=1,A469=1,A467=1,A465=1),$A$1,IF(A472=0,#REF!,$A$5)))</f>
        <v>þ</v>
      </c>
      <c r="C471" s="1002" t="s">
        <v>189</v>
      </c>
      <c r="D471" s="1002"/>
      <c r="E471" s="1003"/>
      <c r="F471" s="663"/>
    </row>
    <row r="472" spans="1:6" ht="204" customHeight="1">
      <c r="A472" s="77">
        <v>1</v>
      </c>
      <c r="B472" s="667"/>
      <c r="C472" s="1000" t="s">
        <v>1082</v>
      </c>
      <c r="D472" s="1000"/>
      <c r="E472" s="1001"/>
      <c r="F472" s="981" t="s">
        <v>1083</v>
      </c>
    </row>
    <row r="473" spans="1:6" ht="23.25" customHeight="1">
      <c r="A473" s="77"/>
      <c r="B473" s="651" t="str">
        <f>IF(ISBLANK(A474),$A$5,IF(AND(A474=1,A472=1,A469=1,A467=1,A465=1),$A$1,IF(A474=0,#REF!,$A$5)))</f>
        <v>þ</v>
      </c>
      <c r="C473" s="1002" t="s">
        <v>124</v>
      </c>
      <c r="D473" s="1002"/>
      <c r="E473" s="1003"/>
      <c r="F473" s="663"/>
    </row>
    <row r="474" spans="1:6" ht="48" customHeight="1">
      <c r="A474" s="77">
        <v>1</v>
      </c>
      <c r="B474" s="667"/>
      <c r="C474" s="1000" t="s">
        <v>1084</v>
      </c>
      <c r="D474" s="1000"/>
      <c r="E474" s="1001"/>
      <c r="F474" s="780" t="s">
        <v>566</v>
      </c>
    </row>
    <row r="475" spans="1:6" ht="45" customHeight="1">
      <c r="A475" s="77"/>
      <c r="B475" s="651" t="str">
        <f>IF(ISBLANK(A476),$A$5,IF(AND(A476=1,A474=1,A472=1,A469=1,A467=1,A465=1),$A$1,IF(A476=0,#REF!,$A$5)))</f>
        <v>þ</v>
      </c>
      <c r="C475" s="1002" t="s">
        <v>125</v>
      </c>
      <c r="D475" s="1002"/>
      <c r="E475" s="1003"/>
      <c r="F475" s="662"/>
    </row>
    <row r="476" spans="1:6" ht="94.5" customHeight="1">
      <c r="A476" s="77">
        <v>1</v>
      </c>
      <c r="B476" s="668"/>
      <c r="C476" s="1006" t="s">
        <v>567</v>
      </c>
      <c r="D476" s="1006"/>
      <c r="E476" s="1007"/>
      <c r="F476" s="631" t="s">
        <v>615</v>
      </c>
    </row>
    <row r="477" spans="1:6" ht="6" customHeight="1"/>
    <row r="478" spans="1:6" ht="21" customHeight="1">
      <c r="B478" s="573"/>
      <c r="C478" s="1004" t="s">
        <v>520</v>
      </c>
      <c r="D478" s="1004"/>
      <c r="E478" s="1004"/>
      <c r="F478" s="1004"/>
    </row>
    <row r="479" spans="1:6" ht="23.25">
      <c r="B479" s="647"/>
      <c r="C479" s="618" t="s">
        <v>336</v>
      </c>
      <c r="D479" s="619" t="s">
        <v>525</v>
      </c>
      <c r="E479" s="619" t="s">
        <v>526</v>
      </c>
      <c r="F479" s="619" t="s">
        <v>531</v>
      </c>
    </row>
    <row r="480" spans="1:6" ht="62.25" customHeight="1">
      <c r="B480" s="647"/>
      <c r="C480" s="528" t="s">
        <v>521</v>
      </c>
      <c r="D480" s="648" t="s">
        <v>48</v>
      </c>
      <c r="E480" s="769" t="str">
        <f>CONCATENATE("ระดับ ",COUNTIF(B483:B493,$A$1))</f>
        <v>ระดับ 6</v>
      </c>
      <c r="F480" s="769">
        <v>3</v>
      </c>
    </row>
    <row r="481" spans="1:6" ht="10.5" customHeight="1">
      <c r="B481" s="622"/>
      <c r="C481" s="1"/>
      <c r="D481" s="1"/>
      <c r="E481" s="1"/>
      <c r="F481" s="1"/>
    </row>
    <row r="482" spans="1:6" ht="23.25">
      <c r="B482" s="623"/>
      <c r="C482" s="995" t="s">
        <v>744</v>
      </c>
      <c r="D482" s="995"/>
      <c r="E482" s="996"/>
      <c r="F482" s="624" t="s">
        <v>528</v>
      </c>
    </row>
    <row r="483" spans="1:6" ht="23.25">
      <c r="B483" s="651" t="str">
        <f>IF(ISBLANK(A484),$A$5,IF(A484=1,$A$1,IF(A484=0,#REF!,$A$5)))</f>
        <v>þ</v>
      </c>
      <c r="C483" s="997" t="s">
        <v>126</v>
      </c>
      <c r="D483" s="997"/>
      <c r="E483" s="998"/>
      <c r="F483" s="658"/>
    </row>
    <row r="484" spans="1:6" ht="64.5" customHeight="1">
      <c r="A484" s="77">
        <v>1</v>
      </c>
      <c r="B484" s="667"/>
      <c r="C484" s="1000" t="s">
        <v>28</v>
      </c>
      <c r="D484" s="1000"/>
      <c r="E484" s="1001"/>
      <c r="F484" s="662" t="s">
        <v>93</v>
      </c>
    </row>
    <row r="485" spans="1:6" ht="22.5" customHeight="1">
      <c r="A485" s="77"/>
      <c r="B485" s="651" t="str">
        <f>IF(ISBLANK(A486),$A$5,IF(AND(A486=1,A484=1),$A$1,IF(A486=0,#REF!,$A$5)))</f>
        <v>þ</v>
      </c>
      <c r="C485" s="1002" t="s">
        <v>127</v>
      </c>
      <c r="D485" s="1002"/>
      <c r="E485" s="1003"/>
      <c r="F485" s="662"/>
    </row>
    <row r="486" spans="1:6" ht="89.25" customHeight="1">
      <c r="A486" s="77">
        <v>1</v>
      </c>
      <c r="B486" s="667"/>
      <c r="C486" s="1000" t="s">
        <v>1090</v>
      </c>
      <c r="D486" s="1000"/>
      <c r="E486" s="1001"/>
      <c r="F486" s="662" t="s">
        <v>94</v>
      </c>
    </row>
    <row r="487" spans="1:6" ht="24" customHeight="1">
      <c r="A487" s="77"/>
      <c r="B487" s="651" t="str">
        <f>IF(ISBLANK(A488),$A$5,IF(AND(A488=1,A486=1,A484=1),$A$1,IF(A488=0,#REF!,$A$5)))</f>
        <v>þ</v>
      </c>
      <c r="C487" s="1002" t="s">
        <v>128</v>
      </c>
      <c r="D487" s="1002"/>
      <c r="E487" s="1003"/>
      <c r="F487" s="662"/>
    </row>
    <row r="488" spans="1:6" ht="158.25" customHeight="1">
      <c r="A488" s="77">
        <v>1</v>
      </c>
      <c r="B488" s="667"/>
      <c r="C488" s="1000" t="s">
        <v>772</v>
      </c>
      <c r="D488" s="1000"/>
      <c r="E488" s="1001"/>
      <c r="F488" s="662" t="s">
        <v>94</v>
      </c>
    </row>
    <row r="489" spans="1:6" ht="25.5" customHeight="1">
      <c r="A489" s="77"/>
      <c r="B489" s="651" t="str">
        <f>IF(ISBLANK(A490),$A$5,IF(AND(A490=1,A488=1,A486=1,A484=1),$A$1,IF(A490=0,#REF!,$A$5)))</f>
        <v>þ</v>
      </c>
      <c r="C489" s="1002" t="s">
        <v>130</v>
      </c>
      <c r="D489" s="1002"/>
      <c r="E489" s="1003"/>
      <c r="F489" s="662"/>
    </row>
    <row r="490" spans="1:6" ht="133.5" customHeight="1">
      <c r="A490" s="77">
        <v>1</v>
      </c>
      <c r="B490" s="667"/>
      <c r="C490" s="1000" t="s">
        <v>1091</v>
      </c>
      <c r="D490" s="1000"/>
      <c r="E490" s="1001"/>
      <c r="F490" s="708" t="s">
        <v>771</v>
      </c>
    </row>
    <row r="491" spans="1:6" ht="24" customHeight="1">
      <c r="A491" s="77"/>
      <c r="B491" s="651" t="str">
        <f>IF(ISBLANK(A492),$A$5,IF(AND(A492=1,A490=1,A488=1,A486=1,A484=1),$A$1,IF(A492=0,#REF!,$A$5)))</f>
        <v>þ</v>
      </c>
      <c r="C491" s="1002" t="s">
        <v>131</v>
      </c>
      <c r="D491" s="1002"/>
      <c r="E491" s="1003"/>
      <c r="F491" s="708"/>
    </row>
    <row r="492" spans="1:6" ht="87" customHeight="1">
      <c r="A492" s="77">
        <v>1</v>
      </c>
      <c r="B492" s="651"/>
      <c r="C492" s="1000" t="s">
        <v>1092</v>
      </c>
      <c r="D492" s="1000"/>
      <c r="E492" s="1001"/>
      <c r="F492" s="982" t="s">
        <v>1093</v>
      </c>
    </row>
    <row r="493" spans="1:6" ht="45" customHeight="1">
      <c r="A493" s="77"/>
      <c r="B493" s="651" t="str">
        <f>IF(ISBLANK(A494),$A$5,IF(AND(A494=1,A492=1,A490=1,A488=1,A486=1),$A$1,IF(A494=0,#REF!,$A$5)))</f>
        <v>þ</v>
      </c>
      <c r="C493" s="1002" t="s">
        <v>132</v>
      </c>
      <c r="D493" s="1002"/>
      <c r="E493" s="1003"/>
      <c r="F493" s="662"/>
    </row>
    <row r="494" spans="1:6" ht="42.75" customHeight="1">
      <c r="A494" s="77">
        <v>1</v>
      </c>
      <c r="B494" s="668"/>
      <c r="C494" s="1008" t="s">
        <v>1094</v>
      </c>
      <c r="D494" s="1008"/>
      <c r="E494" s="1009"/>
      <c r="F494" s="983" t="s">
        <v>1095</v>
      </c>
    </row>
    <row r="495" spans="1:6" ht="11.25" customHeight="1"/>
    <row r="496" spans="1:6" ht="29.25" customHeight="1">
      <c r="B496" s="573"/>
      <c r="C496" s="1004" t="s">
        <v>19</v>
      </c>
      <c r="D496" s="1004"/>
      <c r="E496" s="1004"/>
      <c r="F496" s="1004"/>
    </row>
    <row r="497" spans="1:6" ht="23.25">
      <c r="B497" s="647"/>
      <c r="C497" s="618" t="s">
        <v>336</v>
      </c>
      <c r="D497" s="619" t="s">
        <v>525</v>
      </c>
      <c r="E497" s="619" t="s">
        <v>526</v>
      </c>
      <c r="F497" s="619" t="s">
        <v>531</v>
      </c>
    </row>
    <row r="498" spans="1:6" ht="65.25">
      <c r="B498" s="647"/>
      <c r="C498" s="528" t="s">
        <v>358</v>
      </c>
      <c r="D498" s="648" t="s">
        <v>47</v>
      </c>
      <c r="E498" s="769" t="str">
        <f>CONCATENATE("ระดับ ",COUNTIF(B501:B509,$A$1))</f>
        <v>ระดับ 5</v>
      </c>
      <c r="F498" s="769">
        <v>3</v>
      </c>
    </row>
    <row r="499" spans="1:6" ht="9.75" customHeight="1">
      <c r="B499" s="622"/>
      <c r="C499" s="1"/>
      <c r="D499" s="1"/>
      <c r="E499" s="1"/>
      <c r="F499" s="1"/>
    </row>
    <row r="500" spans="1:6" ht="23.25">
      <c r="B500" s="623"/>
      <c r="C500" s="995" t="s">
        <v>744</v>
      </c>
      <c r="D500" s="995"/>
      <c r="E500" s="996"/>
      <c r="F500" s="624" t="s">
        <v>528</v>
      </c>
    </row>
    <row r="501" spans="1:6" ht="44.25" customHeight="1">
      <c r="B501" s="651" t="str">
        <f>IF(ISBLANK(A502),$A$6,IF(A502=1,$A$1,IF(A502=0,$A$5,$A$6)))</f>
        <v>þ</v>
      </c>
      <c r="C501" s="997" t="s">
        <v>133</v>
      </c>
      <c r="D501" s="997"/>
      <c r="E501" s="998"/>
      <c r="F501" s="658"/>
    </row>
    <row r="502" spans="1:6" ht="68.25" customHeight="1">
      <c r="A502" s="77">
        <v>1</v>
      </c>
      <c r="B502" s="667"/>
      <c r="C502" s="999" t="s">
        <v>930</v>
      </c>
      <c r="D502" s="1000"/>
      <c r="E502" s="1001"/>
      <c r="F502" s="662" t="s">
        <v>715</v>
      </c>
    </row>
    <row r="503" spans="1:6" ht="44.25" customHeight="1">
      <c r="A503" s="77"/>
      <c r="B503" s="651" t="str">
        <f>IF(ISBLANK(A504),$A$6,IF(AND(A504=1,A502=1),$A$1,IF(A504=0,$A$5,$A$6)))</f>
        <v>þ</v>
      </c>
      <c r="C503" s="1002" t="s">
        <v>134</v>
      </c>
      <c r="D503" s="1002"/>
      <c r="E503" s="1003"/>
      <c r="F503" s="662"/>
    </row>
    <row r="504" spans="1:6" ht="42.75" customHeight="1">
      <c r="A504" s="77">
        <v>1</v>
      </c>
      <c r="B504" s="667"/>
      <c r="C504" s="1000" t="s">
        <v>931</v>
      </c>
      <c r="D504" s="1000"/>
      <c r="E504" s="1001"/>
      <c r="F504" s="662" t="s">
        <v>716</v>
      </c>
    </row>
    <row r="505" spans="1:6" ht="42.75" customHeight="1">
      <c r="A505" s="77"/>
      <c r="B505" s="651" t="str">
        <f>IF(ISBLANK(A506),$A$6,IF(AND(A506=1,A504=1,A502=1),$A$1,IF(A506=0,$A$5,$A$6)))</f>
        <v>þ</v>
      </c>
      <c r="C505" s="1002" t="s">
        <v>135</v>
      </c>
      <c r="D505" s="1002"/>
      <c r="E505" s="1003"/>
      <c r="F505" s="662"/>
    </row>
    <row r="506" spans="1:6" ht="45" customHeight="1">
      <c r="A506" s="77">
        <v>1</v>
      </c>
      <c r="B506" s="667"/>
      <c r="C506" s="1000" t="s">
        <v>616</v>
      </c>
      <c r="D506" s="1000"/>
      <c r="E506" s="1001"/>
      <c r="F506" s="662" t="s">
        <v>716</v>
      </c>
    </row>
    <row r="507" spans="1:6" ht="67.5" customHeight="1">
      <c r="A507" s="77"/>
      <c r="B507" s="651" t="str">
        <f>IF(ISBLANK(A508),$A$6,IF(AND(A508=1,A506=1,A504=1,A502=1),$A$1,IF(A508=0,$A$5,$A$6)))</f>
        <v>þ</v>
      </c>
      <c r="C507" s="1002" t="s">
        <v>295</v>
      </c>
      <c r="D507" s="1002"/>
      <c r="E507" s="1003"/>
      <c r="F507" s="662"/>
    </row>
    <row r="508" spans="1:6" ht="180.75" customHeight="1">
      <c r="A508" s="77">
        <v>1</v>
      </c>
      <c r="B508" s="667"/>
      <c r="C508" s="1000" t="s">
        <v>903</v>
      </c>
      <c r="D508" s="1000"/>
      <c r="E508" s="1001"/>
      <c r="F508" s="763" t="s">
        <v>904</v>
      </c>
    </row>
    <row r="509" spans="1:6" ht="24" customHeight="1">
      <c r="A509" s="77"/>
      <c r="B509" s="651" t="str">
        <f>IF(ISBLANK(A510),$A$6,IF(AND(A510=1,A508=1,A506=1,A504=1,A502=1),$A$1,IF(A510=0,$A$5,$A$6)))</f>
        <v>þ</v>
      </c>
      <c r="C509" s="1002" t="s">
        <v>296</v>
      </c>
      <c r="D509" s="1002"/>
      <c r="E509" s="1003"/>
      <c r="F509" s="663"/>
    </row>
    <row r="510" spans="1:6" ht="73.5" customHeight="1">
      <c r="A510" s="77">
        <v>1</v>
      </c>
      <c r="B510" s="668"/>
      <c r="C510" s="1006" t="s">
        <v>718</v>
      </c>
      <c r="D510" s="1006"/>
      <c r="E510" s="1007"/>
      <c r="F510" s="636" t="s">
        <v>717</v>
      </c>
    </row>
    <row r="512" spans="1:6" ht="21" customHeight="1">
      <c r="B512" s="573"/>
      <c r="C512" s="1023" t="s">
        <v>359</v>
      </c>
      <c r="D512" s="1023"/>
      <c r="E512" s="1023"/>
      <c r="F512" s="1023"/>
    </row>
    <row r="513" spans="2:6" ht="22.5">
      <c r="B513" s="575"/>
      <c r="C513" s="572" t="s">
        <v>336</v>
      </c>
      <c r="D513" s="524" t="s">
        <v>525</v>
      </c>
      <c r="E513" s="524" t="s">
        <v>526</v>
      </c>
      <c r="F513" s="524" t="s">
        <v>531</v>
      </c>
    </row>
    <row r="514" spans="2:6" ht="65.25">
      <c r="B514" s="647"/>
      <c r="C514" s="528" t="s">
        <v>360</v>
      </c>
      <c r="D514" s="648" t="s">
        <v>698</v>
      </c>
      <c r="E514" s="702">
        <f>C521</f>
        <v>0.88</v>
      </c>
      <c r="F514" s="650">
        <f>IF(C521&lt;0.1,0,IF(AND(C521&gt;=0.1,C521&lt;1),1,IF(AND(C521&gt;=1,C521&lt;2),2,IF(C521&gt;=2,3,"ข้อมูลไม่ถูกต้อง"))))</f>
        <v>1</v>
      </c>
    </row>
    <row r="515" spans="2:6" ht="10.5" customHeight="1">
      <c r="B515" s="622"/>
      <c r="C515" s="1"/>
      <c r="D515" s="1"/>
      <c r="E515" s="1"/>
      <c r="F515" s="1"/>
    </row>
    <row r="516" spans="2:6" ht="23.25">
      <c r="B516" s="647"/>
      <c r="C516" s="635" t="s">
        <v>106</v>
      </c>
      <c r="D516" s="1030" t="s">
        <v>528</v>
      </c>
      <c r="E516" s="1031"/>
      <c r="F516" s="1032"/>
    </row>
    <row r="517" spans="2:6" ht="21.75" customHeight="1">
      <c r="B517" s="651"/>
      <c r="C517" s="580" t="s">
        <v>810</v>
      </c>
      <c r="D517" s="1016" t="s">
        <v>905</v>
      </c>
      <c r="E517" s="1017"/>
      <c r="F517" s="1018"/>
    </row>
    <row r="518" spans="2:6">
      <c r="B518" s="651"/>
      <c r="C518" s="39" t="s">
        <v>268</v>
      </c>
      <c r="D518" s="1019"/>
      <c r="E518" s="1020"/>
      <c r="F518" s="1021"/>
    </row>
    <row r="519" spans="2:6" ht="41.25" customHeight="1">
      <c r="B519" s="651"/>
      <c r="C519" s="686" t="str">
        <f>CONCATENATE("อาจารย์,นักวิจัยทั้งหมดที่ได้รับรางวัล= ",data1_7.1," คน")</f>
        <v>อาจารย์,นักวิจัยทั้งหมดที่ได้รับรางวัล= 5 คน</v>
      </c>
      <c r="D519" s="1019"/>
      <c r="E519" s="1020"/>
      <c r="F519" s="1021"/>
    </row>
    <row r="520" spans="2:6" ht="45">
      <c r="B520" s="651"/>
      <c r="C520" s="699" t="str">
        <f>CONCATENATE("อาจารย์และนักวิจัยทั้งหมด = ",(data1_2.10+data1_2.23+data1_2.24)," คน")</f>
        <v>อาจารย์และนักวิจัยทั้งหมด = 571 คน</v>
      </c>
      <c r="D520" s="1019"/>
      <c r="E520" s="1020"/>
      <c r="F520" s="1021"/>
    </row>
    <row r="521" spans="2:6" ht="22.5">
      <c r="B521" s="629"/>
      <c r="C521" s="685">
        <f>ROUND(data1_7.1*100/(data1_2.10+data1_2.23+data1_2.24),2)</f>
        <v>0.88</v>
      </c>
      <c r="D521" s="1022"/>
      <c r="E521" s="1008"/>
      <c r="F521" s="1009"/>
    </row>
    <row r="523" spans="2:6" ht="21" customHeight="1">
      <c r="B523" s="573"/>
      <c r="C523" s="1004" t="s">
        <v>361</v>
      </c>
      <c r="D523" s="1004"/>
      <c r="E523" s="1004"/>
      <c r="F523" s="1004"/>
    </row>
    <row r="524" spans="2:6" ht="23.25">
      <c r="B524" s="647"/>
      <c r="C524" s="618" t="s">
        <v>336</v>
      </c>
      <c r="D524" s="619" t="s">
        <v>525</v>
      </c>
      <c r="E524" s="619" t="s">
        <v>526</v>
      </c>
      <c r="F524" s="619" t="s">
        <v>531</v>
      </c>
    </row>
    <row r="525" spans="2:6" ht="65.25">
      <c r="B525" s="647"/>
      <c r="C525" s="528" t="s">
        <v>362</v>
      </c>
      <c r="D525" s="648" t="s">
        <v>47</v>
      </c>
      <c r="E525" s="769" t="str">
        <f>CONCATENATE("ระดับ ",COUNTIF(B528:B537,$A$1))</f>
        <v>ระดับ 5</v>
      </c>
      <c r="F525" s="769">
        <v>3</v>
      </c>
    </row>
    <row r="526" spans="2:6" ht="9.75" customHeight="1">
      <c r="B526" s="622"/>
      <c r="C526" s="1"/>
      <c r="D526" s="1"/>
      <c r="E526" s="1"/>
      <c r="F526" s="1"/>
    </row>
    <row r="527" spans="2:6" ht="23.25">
      <c r="B527" s="623"/>
      <c r="C527" s="995" t="s">
        <v>744</v>
      </c>
      <c r="D527" s="995"/>
      <c r="E527" s="996"/>
      <c r="F527" s="624" t="s">
        <v>528</v>
      </c>
    </row>
    <row r="528" spans="2:6" ht="89.25" customHeight="1">
      <c r="B528" s="626" t="str">
        <f>IF(ISBLANK(A529),$A$5,IF(A529=1,$A$1,IF(A529=0,#REF!,$A$5)))</f>
        <v>þ</v>
      </c>
      <c r="C528" s="997" t="s">
        <v>297</v>
      </c>
      <c r="D528" s="997"/>
      <c r="E528" s="998"/>
      <c r="F528" s="658"/>
    </row>
    <row r="529" spans="1:6" ht="201.75" customHeight="1">
      <c r="A529" s="77">
        <v>1</v>
      </c>
      <c r="B529" s="667"/>
      <c r="C529" s="1000" t="s">
        <v>991</v>
      </c>
      <c r="D529" s="1000"/>
      <c r="E529" s="1001"/>
      <c r="F529" s="659" t="s">
        <v>992</v>
      </c>
    </row>
    <row r="530" spans="1:6" ht="64.5" customHeight="1">
      <c r="A530" s="77"/>
      <c r="B530" s="651" t="str">
        <f>IF(ISBLANK(A531),$A$5,IF(AND(A531=1,A529=1),$A$1,IF(A531=0,#REF!,$A$5)))</f>
        <v>þ</v>
      </c>
      <c r="C530" s="1002" t="s">
        <v>299</v>
      </c>
      <c r="D530" s="1002"/>
      <c r="E530" s="1003"/>
      <c r="F530" s="659"/>
    </row>
    <row r="531" spans="1:6" ht="266.25" customHeight="1">
      <c r="A531" s="77">
        <v>1</v>
      </c>
      <c r="B531" s="668"/>
      <c r="C531" s="1005" t="s">
        <v>1096</v>
      </c>
      <c r="D531" s="1006"/>
      <c r="E531" s="1007"/>
      <c r="F531" s="906" t="s">
        <v>943</v>
      </c>
    </row>
    <row r="532" spans="1:6" ht="23.25">
      <c r="B532" s="623"/>
      <c r="C532" s="995" t="s">
        <v>744</v>
      </c>
      <c r="D532" s="995"/>
      <c r="E532" s="996"/>
      <c r="F532" s="624" t="s">
        <v>528</v>
      </c>
    </row>
    <row r="533" spans="1:6" ht="90.75" customHeight="1">
      <c r="A533" s="77"/>
      <c r="B533" s="651" t="str">
        <f>IF(ISBLANK(A534),$A$5,IF(AND(A534=1,A531=1,A529=1),$A$1,IF(A534=0,#REF!,$A$5)))</f>
        <v>þ</v>
      </c>
      <c r="C533" s="1002" t="s">
        <v>298</v>
      </c>
      <c r="D533" s="1002"/>
      <c r="E533" s="1003"/>
      <c r="F533" s="706"/>
    </row>
    <row r="534" spans="1:6" ht="207.75" customHeight="1">
      <c r="A534" s="77">
        <v>1</v>
      </c>
      <c r="B534" s="667"/>
      <c r="C534" s="999" t="s">
        <v>1097</v>
      </c>
      <c r="D534" s="1000"/>
      <c r="E534" s="1001"/>
      <c r="F534" s="683" t="s">
        <v>944</v>
      </c>
    </row>
    <row r="535" spans="1:6" ht="21.75" customHeight="1">
      <c r="A535" s="77"/>
      <c r="B535" s="651" t="str">
        <f>IF(ISBLANK(A536),$A$5,IF(AND(A536=1,A534=1,A531=1,A529=1),$A$1,IF(A536=0,#REF!,$A$5)))</f>
        <v>þ</v>
      </c>
      <c r="C535" s="1002" t="s">
        <v>620</v>
      </c>
      <c r="D535" s="1002"/>
      <c r="E535" s="1003"/>
      <c r="F535" s="683"/>
    </row>
    <row r="536" spans="1:6" ht="73.5" customHeight="1">
      <c r="A536" s="77">
        <v>1</v>
      </c>
      <c r="B536" s="667"/>
      <c r="C536" s="999" t="s">
        <v>945</v>
      </c>
      <c r="D536" s="1000"/>
      <c r="E536" s="1001"/>
      <c r="F536" s="889" t="s">
        <v>946</v>
      </c>
    </row>
    <row r="537" spans="1:6" ht="68.25" customHeight="1">
      <c r="A537" s="77"/>
      <c r="B537" s="651" t="str">
        <f>IF(ISBLANK(A538),$A$5,IF(AND(A538=1,A536=1,A534=1,A531=1,A529=1),$A$1,IF(A538=0,#REF!,$A$5)))</f>
        <v>þ</v>
      </c>
      <c r="C537" s="1002" t="s">
        <v>746</v>
      </c>
      <c r="D537" s="1002"/>
      <c r="E537" s="1003"/>
      <c r="F537" s="663"/>
    </row>
    <row r="538" spans="1:6" ht="185.25" customHeight="1">
      <c r="A538" s="77">
        <v>1</v>
      </c>
      <c r="B538" s="668"/>
      <c r="C538" s="1005" t="s">
        <v>947</v>
      </c>
      <c r="D538" s="1006"/>
      <c r="E538" s="1007"/>
      <c r="F538" s="631" t="s">
        <v>948</v>
      </c>
    </row>
    <row r="539" spans="1:6">
      <c r="F539" s="907"/>
    </row>
    <row r="540" spans="1:6" ht="21" customHeight="1">
      <c r="B540" s="573"/>
      <c r="C540" s="1004" t="s">
        <v>363</v>
      </c>
      <c r="D540" s="1004"/>
      <c r="E540" s="1004"/>
      <c r="F540" s="1004"/>
    </row>
    <row r="541" spans="1:6" ht="23.25">
      <c r="B541" s="647"/>
      <c r="C541" s="618" t="s">
        <v>336</v>
      </c>
      <c r="D541" s="619" t="s">
        <v>525</v>
      </c>
      <c r="E541" s="619" t="s">
        <v>526</v>
      </c>
      <c r="F541" s="619" t="s">
        <v>531</v>
      </c>
    </row>
    <row r="542" spans="1:6" ht="63" customHeight="1">
      <c r="B542" s="647"/>
      <c r="C542" s="528" t="s">
        <v>108</v>
      </c>
      <c r="D542" s="648" t="s">
        <v>35</v>
      </c>
      <c r="E542" s="621" t="str">
        <f>CONCATENATE("ระดับ ",COUNTIF(B545:B560,$A$1))</f>
        <v>ระดับ 8</v>
      </c>
      <c r="F542" s="621">
        <v>3</v>
      </c>
    </row>
    <row r="543" spans="1:6" ht="10.5" customHeight="1">
      <c r="B543" s="622"/>
      <c r="C543" s="1"/>
      <c r="D543" s="1"/>
      <c r="E543" s="1"/>
      <c r="F543" s="1"/>
    </row>
    <row r="544" spans="1:6" ht="23.25">
      <c r="B544" s="623"/>
      <c r="C544" s="995" t="s">
        <v>744</v>
      </c>
      <c r="D544" s="995"/>
      <c r="E544" s="996"/>
      <c r="F544" s="624" t="s">
        <v>528</v>
      </c>
    </row>
    <row r="545" spans="1:6" ht="23.25">
      <c r="B545" s="651" t="str">
        <f>IF(ISBLANK(A546),$A$6,IF(A546=1,$A$1,IF(A546=0,$A$5,$A$6)))</f>
        <v>þ</v>
      </c>
      <c r="C545" s="997" t="s">
        <v>390</v>
      </c>
      <c r="D545" s="997"/>
      <c r="E545" s="998"/>
      <c r="F545" s="658"/>
    </row>
    <row r="546" spans="1:6" ht="337.5" customHeight="1">
      <c r="A546" s="77">
        <v>1</v>
      </c>
      <c r="B546" s="667"/>
      <c r="C546" s="999" t="s">
        <v>1104</v>
      </c>
      <c r="D546" s="999"/>
      <c r="E546" s="1012"/>
      <c r="F546" s="683" t="s">
        <v>993</v>
      </c>
    </row>
    <row r="547" spans="1:6" ht="23.25">
      <c r="A547" s="77"/>
      <c r="B547" s="651" t="str">
        <f>IF(ISBLANK(A548),$A$6,IF(AND(A548=1,A546=1),$A$1,IF(A548=0,$A$5,$A$6)))</f>
        <v>þ</v>
      </c>
      <c r="C547" s="1002" t="s">
        <v>391</v>
      </c>
      <c r="D547" s="1002"/>
      <c r="E547" s="1003"/>
      <c r="F547" s="683"/>
    </row>
    <row r="548" spans="1:6" ht="156" customHeight="1">
      <c r="A548" s="77">
        <v>1</v>
      </c>
      <c r="B548" s="667"/>
      <c r="C548" s="999" t="s">
        <v>1098</v>
      </c>
      <c r="D548" s="999"/>
      <c r="E548" s="1012"/>
      <c r="F548" s="683" t="s">
        <v>1099</v>
      </c>
    </row>
    <row r="549" spans="1:6" ht="23.25">
      <c r="A549" s="77"/>
      <c r="B549" s="651" t="str">
        <f>IF(ISBLANK(A550),$A$6,IF(AND(A550=1,A548=1,A546=1),$A$1,IF(A550=0,$A$5,$A$6)))</f>
        <v>þ</v>
      </c>
      <c r="C549" s="1002" t="s">
        <v>392</v>
      </c>
      <c r="D549" s="1002"/>
      <c r="E549" s="1003"/>
      <c r="F549" s="683"/>
    </row>
    <row r="550" spans="1:6" ht="132.75" customHeight="1">
      <c r="A550" s="77">
        <v>1</v>
      </c>
      <c r="B550" s="668"/>
      <c r="C550" s="1006" t="s">
        <v>994</v>
      </c>
      <c r="D550" s="1006"/>
      <c r="E550" s="1007"/>
      <c r="F550" s="939" t="s">
        <v>1011</v>
      </c>
    </row>
    <row r="551" spans="1:6" ht="23.25">
      <c r="B551" s="623"/>
      <c r="C551" s="995" t="s">
        <v>744</v>
      </c>
      <c r="D551" s="995"/>
      <c r="E551" s="996"/>
      <c r="F551" s="624" t="s">
        <v>528</v>
      </c>
    </row>
    <row r="552" spans="1:6" ht="66" customHeight="1">
      <c r="A552" s="77"/>
      <c r="B552" s="651" t="str">
        <f>IF(ISBLANK(A553),$A$6,IF(AND(A553=1,A550=1,A548=1,A546=1),$A$1,IF(A553=0,$A$5,$A$6)))</f>
        <v>þ</v>
      </c>
      <c r="C552" s="1002" t="s">
        <v>395</v>
      </c>
      <c r="D552" s="1002"/>
      <c r="E552" s="1003"/>
      <c r="F552" s="659"/>
    </row>
    <row r="553" spans="1:6" ht="108" customHeight="1">
      <c r="A553" s="77">
        <v>1</v>
      </c>
      <c r="B553" s="667"/>
      <c r="C553" s="1000" t="s">
        <v>995</v>
      </c>
      <c r="D553" s="1000"/>
      <c r="E553" s="1001"/>
      <c r="F553" s="659" t="s">
        <v>996</v>
      </c>
    </row>
    <row r="554" spans="1:6" ht="42" customHeight="1">
      <c r="A554" s="77"/>
      <c r="B554" s="651" t="str">
        <f>IF(ISBLANK(A555),$A$6,IF(AND(A555=1,A553=1,A550=1,A548=1,A546=1),$A$1,IF(A555=0,$A$5,$A$6)))</f>
        <v>þ</v>
      </c>
      <c r="C554" s="1002" t="s">
        <v>396</v>
      </c>
      <c r="D554" s="1002"/>
      <c r="E554" s="1003"/>
      <c r="F554" s="659"/>
    </row>
    <row r="555" spans="1:6" ht="67.5" customHeight="1">
      <c r="A555" s="77">
        <v>1</v>
      </c>
      <c r="B555" s="667"/>
      <c r="C555" s="1000" t="s">
        <v>997</v>
      </c>
      <c r="D555" s="1000"/>
      <c r="E555" s="1001"/>
      <c r="F555" s="661" t="s">
        <v>1100</v>
      </c>
    </row>
    <row r="556" spans="1:6" ht="48" customHeight="1">
      <c r="A556" s="77"/>
      <c r="B556" s="651" t="str">
        <f>IF(ISBLANK(A557),$A$6,IF(AND(A557=1,A555=1,A553=1,A550=1,A548=1,A546=1),$A$1,IF(A557=0,$A$5,$A$6)))</f>
        <v>þ</v>
      </c>
      <c r="C556" s="1002" t="s">
        <v>397</v>
      </c>
      <c r="D556" s="1002"/>
      <c r="E556" s="1003"/>
      <c r="F556" s="662"/>
    </row>
    <row r="557" spans="1:6" ht="152.25" customHeight="1">
      <c r="A557" s="77">
        <v>1</v>
      </c>
      <c r="B557" s="667"/>
      <c r="C557" s="1000" t="s">
        <v>1101</v>
      </c>
      <c r="D557" s="1000"/>
      <c r="E557" s="1001"/>
      <c r="F557" s="917" t="s">
        <v>998</v>
      </c>
    </row>
    <row r="558" spans="1:6" ht="20.25" customHeight="1">
      <c r="A558" s="77"/>
      <c r="B558" s="651" t="str">
        <f>IF(ISBLANK(A559),$A$6,IF(AND(A559=1,A557=1,A555=1,A553=1,A550=1,A548=1,A546=1),$A$1,IF(A559=0,$A$5,$A$6)))</f>
        <v>þ</v>
      </c>
      <c r="C558" s="1002" t="s">
        <v>398</v>
      </c>
      <c r="D558" s="1002"/>
      <c r="E558" s="1003"/>
      <c r="F558" s="662"/>
    </row>
    <row r="559" spans="1:6" ht="65.25" customHeight="1">
      <c r="A559" s="77">
        <v>1</v>
      </c>
      <c r="B559" s="667"/>
      <c r="C559" s="1000" t="s">
        <v>1102</v>
      </c>
      <c r="D559" s="1000"/>
      <c r="E559" s="1001"/>
      <c r="F559" s="918" t="s">
        <v>999</v>
      </c>
    </row>
    <row r="560" spans="1:6" ht="41.25" customHeight="1">
      <c r="A560" s="77"/>
      <c r="B560" s="651" t="str">
        <f>IF(ISBLANK(A561),$A$6,IF(AND(A561=1,A559=1,A557=1,A555=1,A553=1,A550=1,A548=1,A546=1),$A$1,IF(A561=0,$A$5,$A$6)))</f>
        <v>þ</v>
      </c>
      <c r="C560" s="1002" t="s">
        <v>399</v>
      </c>
      <c r="D560" s="1002"/>
      <c r="E560" s="1003"/>
      <c r="F560" s="662"/>
    </row>
    <row r="561" spans="1:6" ht="233.25" customHeight="1">
      <c r="A561" s="77">
        <v>1</v>
      </c>
      <c r="B561" s="668"/>
      <c r="C561" s="1006" t="s">
        <v>1103</v>
      </c>
      <c r="D561" s="1006"/>
      <c r="E561" s="1007"/>
      <c r="F561" s="764" t="s">
        <v>1000</v>
      </c>
    </row>
    <row r="563" spans="1:6" ht="26.25">
      <c r="B563" s="328"/>
      <c r="C563" s="611" t="s">
        <v>748</v>
      </c>
    </row>
    <row r="565" spans="1:6" ht="45" customHeight="1">
      <c r="B565" s="573"/>
      <c r="C565" s="1004" t="s">
        <v>364</v>
      </c>
      <c r="D565" s="1004"/>
      <c r="E565" s="1004"/>
      <c r="F565" s="1004"/>
    </row>
    <row r="566" spans="1:6" ht="23.25">
      <c r="B566" s="647"/>
      <c r="C566" s="618" t="s">
        <v>336</v>
      </c>
      <c r="D566" s="619" t="s">
        <v>525</v>
      </c>
      <c r="E566" s="619" t="s">
        <v>526</v>
      </c>
      <c r="F566" s="619" t="s">
        <v>531</v>
      </c>
    </row>
    <row r="567" spans="1:6" ht="63.75" customHeight="1">
      <c r="B567" s="647"/>
      <c r="C567" s="528" t="s">
        <v>365</v>
      </c>
      <c r="D567" s="648" t="s">
        <v>74</v>
      </c>
      <c r="E567" s="769" t="str">
        <f>CONCATENATE("ระดับ ",COUNTIF(B570:B583,$A$1))</f>
        <v>ระดับ 7</v>
      </c>
      <c r="F567" s="769">
        <v>3</v>
      </c>
    </row>
    <row r="568" spans="1:6" ht="10.5" customHeight="1">
      <c r="B568" s="622"/>
      <c r="C568" s="1"/>
      <c r="D568" s="1"/>
      <c r="E568" s="1"/>
      <c r="F568" s="1"/>
    </row>
    <row r="569" spans="1:6" ht="24" customHeight="1">
      <c r="B569" s="623"/>
      <c r="C569" s="995" t="s">
        <v>744</v>
      </c>
      <c r="D569" s="995"/>
      <c r="E569" s="996"/>
      <c r="F569" s="624" t="s">
        <v>528</v>
      </c>
    </row>
    <row r="570" spans="1:6" ht="43.5" customHeight="1">
      <c r="B570" s="651" t="str">
        <f>IF(ISBLANK(A571),$A$5,IF(A571=1,$A$1,IF(A571=0,#REF!,$A$5)))</f>
        <v>þ</v>
      </c>
      <c r="C570" s="997" t="s">
        <v>146</v>
      </c>
      <c r="D570" s="997"/>
      <c r="E570" s="998"/>
      <c r="F570" s="658"/>
    </row>
    <row r="571" spans="1:6" ht="154.5" customHeight="1">
      <c r="A571" s="77">
        <v>1</v>
      </c>
      <c r="B571" s="651"/>
      <c r="C571" s="999" t="s">
        <v>906</v>
      </c>
      <c r="D571" s="1000"/>
      <c r="E571" s="1001"/>
      <c r="F571" s="981" t="s">
        <v>1112</v>
      </c>
    </row>
    <row r="572" spans="1:6" ht="45.75" customHeight="1">
      <c r="A572" s="77"/>
      <c r="B572" s="651" t="str">
        <f>IF(ISBLANK(A573),$A$5,IF(AND(A573=1,A571=1),$A$1,IF(A573=0,#REF!,$A$5)))</f>
        <v>þ</v>
      </c>
      <c r="C572" s="1002" t="s">
        <v>147</v>
      </c>
      <c r="D572" s="1002"/>
      <c r="E572" s="1003"/>
      <c r="F572" s="663"/>
    </row>
    <row r="573" spans="1:6" ht="153" customHeight="1">
      <c r="A573" s="77">
        <v>1</v>
      </c>
      <c r="B573" s="667"/>
      <c r="C573" s="1000" t="s">
        <v>1113</v>
      </c>
      <c r="D573" s="1000"/>
      <c r="E573" s="1001"/>
      <c r="F573" s="762" t="s">
        <v>870</v>
      </c>
    </row>
    <row r="574" spans="1:6" ht="47.25" customHeight="1">
      <c r="A574" s="77"/>
      <c r="B574" s="651" t="str">
        <f>IF(ISBLANK(A575),$A$5,IF(AND(A575=1,A573=1,A571=1),$A$1,IF(A575=0,#REF!,$A$5)))</f>
        <v>þ</v>
      </c>
      <c r="C574" s="1002" t="s">
        <v>284</v>
      </c>
      <c r="D574" s="1002"/>
      <c r="E574" s="1003"/>
      <c r="F574" s="663"/>
    </row>
    <row r="575" spans="1:6" ht="97.5" customHeight="1">
      <c r="A575" s="77">
        <v>1</v>
      </c>
      <c r="B575" s="668"/>
      <c r="C575" s="1005" t="s">
        <v>871</v>
      </c>
      <c r="D575" s="1006"/>
      <c r="E575" s="1007"/>
      <c r="F575" s="631" t="s">
        <v>872</v>
      </c>
    </row>
    <row r="576" spans="1:6" ht="24" customHeight="1">
      <c r="B576" s="623"/>
      <c r="C576" s="995" t="s">
        <v>744</v>
      </c>
      <c r="D576" s="995"/>
      <c r="E576" s="996"/>
      <c r="F576" s="624" t="s">
        <v>528</v>
      </c>
    </row>
    <row r="577" spans="1:6" ht="23.25">
      <c r="A577" s="77"/>
      <c r="B577" s="651" t="str">
        <f>IF(ISBLANK(A578),$A$5,IF(AND(A578=1,A575=1,A573=1,A571=1),$A$1,IF(A578=0,#REF!,$A$5)))</f>
        <v>þ</v>
      </c>
      <c r="C577" s="1002" t="s">
        <v>285</v>
      </c>
      <c r="D577" s="1002"/>
      <c r="E577" s="1003"/>
      <c r="F577" s="662"/>
    </row>
    <row r="578" spans="1:6" ht="137.25" customHeight="1">
      <c r="A578" s="77">
        <v>1</v>
      </c>
      <c r="B578" s="667"/>
      <c r="C578" s="1000" t="s">
        <v>873</v>
      </c>
      <c r="D578" s="1000"/>
      <c r="E578" s="1001"/>
      <c r="F578" s="788" t="s">
        <v>913</v>
      </c>
    </row>
    <row r="579" spans="1:6" ht="45" customHeight="1">
      <c r="A579" s="77"/>
      <c r="B579" s="651" t="str">
        <f>IF(ISBLANK(A580),$A$5,IF(AND(A580=1,A578=1,A575=1,A573=1,A571=1),$A$1,IF(A580=0,#REF!,$A$5)))</f>
        <v>þ</v>
      </c>
      <c r="C579" s="1002" t="s">
        <v>92</v>
      </c>
      <c r="D579" s="1002"/>
      <c r="E579" s="1003"/>
      <c r="F579" s="662"/>
    </row>
    <row r="580" spans="1:6" ht="113.25" customHeight="1">
      <c r="A580" s="77">
        <v>1</v>
      </c>
      <c r="B580" s="667"/>
      <c r="C580" s="999" t="s">
        <v>874</v>
      </c>
      <c r="D580" s="1000"/>
      <c r="E580" s="1001"/>
      <c r="F580" s="788" t="s">
        <v>914</v>
      </c>
    </row>
    <row r="581" spans="1:6" ht="46.5" customHeight="1">
      <c r="A581" s="77"/>
      <c r="B581" s="651" t="str">
        <f>IF(ISBLANK(A582),$A$5,IF(AND(A582=1,A580=1,A578=1,A575=1,A573=1,A571=1),$A$1,IF(A582=0,#REF!,$A$5)))</f>
        <v>þ</v>
      </c>
      <c r="C581" s="1002" t="s">
        <v>288</v>
      </c>
      <c r="D581" s="1002"/>
      <c r="E581" s="1003"/>
      <c r="F581" s="663"/>
    </row>
    <row r="582" spans="1:6" ht="90" customHeight="1">
      <c r="A582" s="77">
        <v>1</v>
      </c>
      <c r="B582" s="667"/>
      <c r="C582" s="1000" t="s">
        <v>1145</v>
      </c>
      <c r="D582" s="1000"/>
      <c r="E582" s="1001"/>
      <c r="F582" s="762" t="s">
        <v>875</v>
      </c>
    </row>
    <row r="583" spans="1:6" ht="44.25" customHeight="1">
      <c r="A583" s="77"/>
      <c r="B583" s="651" t="str">
        <f>IF(ISBLANK(A584),$A$5,IF(AND(A584=1,A582=1,A580=1,A578=1,A575=1,A573=1,A571=1),$A$1,IF(A584=0,#REF!,$A$5)))</f>
        <v>þ</v>
      </c>
      <c r="C583" s="1002" t="s">
        <v>424</v>
      </c>
      <c r="D583" s="1002"/>
      <c r="E583" s="1003"/>
      <c r="F583" s="663"/>
    </row>
    <row r="584" spans="1:6" ht="75" customHeight="1">
      <c r="A584" s="77">
        <v>1</v>
      </c>
      <c r="B584" s="668"/>
      <c r="C584" s="1005" t="s">
        <v>1114</v>
      </c>
      <c r="D584" s="1006"/>
      <c r="E584" s="1007"/>
      <c r="F584" s="636" t="s">
        <v>72</v>
      </c>
    </row>
    <row r="586" spans="1:6" ht="21" customHeight="1">
      <c r="B586" s="573"/>
      <c r="C586" s="1004" t="s">
        <v>303</v>
      </c>
      <c r="D586" s="1004"/>
      <c r="E586" s="1004"/>
      <c r="F586" s="1004"/>
    </row>
    <row r="587" spans="1:6" ht="23.25">
      <c r="B587" s="647"/>
      <c r="C587" s="618" t="s">
        <v>336</v>
      </c>
      <c r="D587" s="619" t="s">
        <v>525</v>
      </c>
      <c r="E587" s="619" t="s">
        <v>526</v>
      </c>
      <c r="F587" s="619" t="s">
        <v>531</v>
      </c>
    </row>
    <row r="588" spans="1:6" ht="62.25" customHeight="1">
      <c r="B588" s="647"/>
      <c r="C588" s="528" t="s">
        <v>32</v>
      </c>
      <c r="D588" s="648" t="s">
        <v>47</v>
      </c>
      <c r="E588" s="621" t="str">
        <f>CONCATENATE("ระดับ ",COUNTIF(B591:B600,$A$1))</f>
        <v>ระดับ 5</v>
      </c>
      <c r="F588" s="621">
        <v>3</v>
      </c>
    </row>
    <row r="589" spans="1:6" ht="10.5" customHeight="1">
      <c r="B589" s="622"/>
      <c r="C589" s="1"/>
      <c r="D589" s="1"/>
      <c r="E589" s="1"/>
      <c r="F589" s="1"/>
    </row>
    <row r="590" spans="1:6" ht="24" customHeight="1">
      <c r="B590" s="623"/>
      <c r="C590" s="995" t="s">
        <v>744</v>
      </c>
      <c r="D590" s="995"/>
      <c r="E590" s="996"/>
      <c r="F590" s="624" t="s">
        <v>528</v>
      </c>
    </row>
    <row r="591" spans="1:6" ht="23.25">
      <c r="B591" s="651" t="str">
        <f>IF(ISBLANK(A592),$A$5,IF(A592=1,$A$1,IF(A592=0,#REF!,$A$5)))</f>
        <v>þ</v>
      </c>
      <c r="C591" s="997" t="s">
        <v>425</v>
      </c>
      <c r="D591" s="997"/>
      <c r="E591" s="998"/>
      <c r="F591" s="658"/>
    </row>
    <row r="592" spans="1:6" ht="156" customHeight="1">
      <c r="A592" s="77">
        <v>1</v>
      </c>
      <c r="B592" s="667"/>
      <c r="C592" s="999" t="s">
        <v>907</v>
      </c>
      <c r="D592" s="1000"/>
      <c r="E592" s="1001"/>
      <c r="F592" s="662" t="s">
        <v>694</v>
      </c>
    </row>
    <row r="593" spans="1:6" ht="23.25">
      <c r="A593" s="77"/>
      <c r="B593" s="651" t="str">
        <f>IF(ISBLANK(A594),$A$5,IF(AND(A594=1,A592=1),$A$1,IF(A594=0,#REF!,$A$5)))</f>
        <v>þ</v>
      </c>
      <c r="C593" s="1002" t="s">
        <v>426</v>
      </c>
      <c r="D593" s="1002"/>
      <c r="E593" s="1003"/>
      <c r="F593" s="662"/>
    </row>
    <row r="594" spans="1:6" ht="119.25" customHeight="1">
      <c r="A594" s="77">
        <v>1</v>
      </c>
      <c r="B594" s="667"/>
      <c r="C594" s="999" t="s">
        <v>876</v>
      </c>
      <c r="D594" s="1000"/>
      <c r="E594" s="1001"/>
      <c r="F594" s="797" t="s">
        <v>932</v>
      </c>
    </row>
    <row r="595" spans="1:6" ht="23.25">
      <c r="A595" s="77"/>
      <c r="B595" s="651" t="str">
        <f>IF(ISBLANK(A596),$A$5,IF(AND(A596=1,A594=1,A592=1),$A$1,IF(A596=0,#REF!,$A$5)))</f>
        <v>þ</v>
      </c>
      <c r="C595" s="1002" t="s">
        <v>427</v>
      </c>
      <c r="D595" s="1002"/>
      <c r="E595" s="1003"/>
      <c r="F595" s="662"/>
    </row>
    <row r="596" spans="1:6" ht="336.75" customHeight="1">
      <c r="A596" s="77">
        <v>1</v>
      </c>
      <c r="B596" s="668"/>
      <c r="C596" s="1006" t="s">
        <v>202</v>
      </c>
      <c r="D596" s="1006"/>
      <c r="E596" s="1007"/>
      <c r="F596" s="631" t="s">
        <v>90</v>
      </c>
    </row>
    <row r="597" spans="1:6" ht="24" customHeight="1">
      <c r="B597" s="623"/>
      <c r="C597" s="995" t="s">
        <v>744</v>
      </c>
      <c r="D597" s="995"/>
      <c r="E597" s="996"/>
      <c r="F597" s="624" t="s">
        <v>528</v>
      </c>
    </row>
    <row r="598" spans="1:6" ht="22.5" customHeight="1">
      <c r="A598" s="77"/>
      <c r="B598" s="651" t="str">
        <f>IF(ISBLANK(A599),$A$5,IF(AND(A599=1,A596=1,A594=1),$A$1,IF(A599=0,#REF!,$A$5)))</f>
        <v>þ</v>
      </c>
      <c r="C598" s="1002" t="s">
        <v>738</v>
      </c>
      <c r="D598" s="1002"/>
      <c r="E598" s="1003"/>
      <c r="F598" s="663"/>
    </row>
    <row r="599" spans="1:6" ht="111.75" customHeight="1">
      <c r="A599" s="77">
        <v>1</v>
      </c>
      <c r="B599" s="667"/>
      <c r="C599" s="1000" t="s">
        <v>1115</v>
      </c>
      <c r="D599" s="1000"/>
      <c r="E599" s="1001"/>
      <c r="F599" s="662" t="s">
        <v>91</v>
      </c>
    </row>
    <row r="600" spans="1:6" ht="20.25" customHeight="1">
      <c r="A600" s="77"/>
      <c r="B600" s="651" t="str">
        <f>IF(ISBLANK(A601),$A$5,IF(AND(A601=1,A599=1,A596=1,A594=1,A592=1),$A$1,IF(A601=0,#REF!,$A$5)))</f>
        <v>þ</v>
      </c>
      <c r="C600" s="1002" t="s">
        <v>508</v>
      </c>
      <c r="D600" s="1002"/>
      <c r="E600" s="1003"/>
      <c r="F600" s="662"/>
    </row>
    <row r="601" spans="1:6" ht="111.75" customHeight="1">
      <c r="A601" s="77">
        <v>1</v>
      </c>
      <c r="B601" s="668"/>
      <c r="C601" s="1008" t="s">
        <v>1116</v>
      </c>
      <c r="D601" s="1008"/>
      <c r="E601" s="1009"/>
      <c r="F601" s="660" t="s">
        <v>695</v>
      </c>
    </row>
    <row r="603" spans="1:6" ht="26.25">
      <c r="B603" s="615" t="s">
        <v>304</v>
      </c>
      <c r="C603" s="26"/>
    </row>
    <row r="605" spans="1:6" ht="21" customHeight="1">
      <c r="B605" s="573"/>
      <c r="C605" s="1004" t="s">
        <v>305</v>
      </c>
      <c r="D605" s="1004"/>
      <c r="E605" s="1004"/>
      <c r="F605" s="1004"/>
    </row>
    <row r="606" spans="1:6" ht="23.25">
      <c r="B606" s="647"/>
      <c r="C606" s="618" t="s">
        <v>336</v>
      </c>
      <c r="D606" s="619" t="s">
        <v>525</v>
      </c>
      <c r="E606" s="619" t="s">
        <v>526</v>
      </c>
      <c r="F606" s="619" t="s">
        <v>531</v>
      </c>
    </row>
    <row r="607" spans="1:6" ht="63.75" customHeight="1">
      <c r="B607" s="647"/>
      <c r="C607" s="528" t="s">
        <v>306</v>
      </c>
      <c r="D607" s="648" t="s">
        <v>74</v>
      </c>
      <c r="E607" s="769" t="str">
        <f>CONCATENATE("ระดับ ",COUNTIF(B610:B625,$A$1))</f>
        <v>ระดับ 7</v>
      </c>
      <c r="F607" s="769">
        <v>3</v>
      </c>
    </row>
    <row r="608" spans="1:6" ht="10.5" customHeight="1">
      <c r="B608" s="622"/>
      <c r="C608" s="1"/>
      <c r="D608" s="1"/>
      <c r="E608" s="1"/>
      <c r="F608" s="1"/>
    </row>
    <row r="609" spans="1:6" ht="24" customHeight="1">
      <c r="B609" s="623"/>
      <c r="C609" s="995" t="s">
        <v>744</v>
      </c>
      <c r="D609" s="995"/>
      <c r="E609" s="996"/>
      <c r="F609" s="624" t="s">
        <v>528</v>
      </c>
    </row>
    <row r="610" spans="1:6" ht="47.25" customHeight="1">
      <c r="B610" s="709" t="str">
        <f>IF(ISBLANK(A611),$A$5,IF(A611=1,$A$1,IF(A611=0,#REF!,$A$5)))</f>
        <v>þ</v>
      </c>
      <c r="C610" s="997" t="s">
        <v>509</v>
      </c>
      <c r="D610" s="997"/>
      <c r="E610" s="998"/>
      <c r="F610" s="658"/>
    </row>
    <row r="611" spans="1:6" ht="363" customHeight="1">
      <c r="A611" s="610">
        <v>1</v>
      </c>
      <c r="B611" s="667"/>
      <c r="C611" s="999" t="s">
        <v>1117</v>
      </c>
      <c r="D611" s="1000"/>
      <c r="E611" s="1001"/>
      <c r="F611" s="683" t="s">
        <v>1001</v>
      </c>
    </row>
    <row r="612" spans="1:6" ht="156.75" customHeight="1">
      <c r="A612" s="610"/>
      <c r="B612" s="668"/>
      <c r="C612" s="1013" t="s">
        <v>1118</v>
      </c>
      <c r="D612" s="1014"/>
      <c r="E612" s="1015"/>
      <c r="F612" s="682"/>
    </row>
    <row r="613" spans="1:6" ht="24" customHeight="1">
      <c r="B613" s="623"/>
      <c r="C613" s="995" t="s">
        <v>744</v>
      </c>
      <c r="D613" s="995"/>
      <c r="E613" s="996"/>
      <c r="F613" s="624" t="s">
        <v>528</v>
      </c>
    </row>
    <row r="614" spans="1:6" ht="69.75" customHeight="1">
      <c r="A614" s="610"/>
      <c r="B614" s="651" t="str">
        <f>IF(ISBLANK(A615),$A$5,IF(AND(A615=1,A611=1),$A$1,IF(A615=0,#REF!,$A$5)))</f>
        <v>þ</v>
      </c>
      <c r="C614" s="1002" t="s">
        <v>46</v>
      </c>
      <c r="D614" s="1002"/>
      <c r="E614" s="1003"/>
      <c r="F614" s="683"/>
    </row>
    <row r="615" spans="1:6" ht="359.25" customHeight="1">
      <c r="A615" s="77">
        <v>1</v>
      </c>
      <c r="B615" s="667"/>
      <c r="C615" s="1000" t="s">
        <v>1009</v>
      </c>
      <c r="D615" s="1000"/>
      <c r="E615" s="1001"/>
      <c r="F615" s="663" t="s">
        <v>696</v>
      </c>
    </row>
    <row r="616" spans="1:6" ht="71.25" customHeight="1">
      <c r="A616" s="77"/>
      <c r="B616" s="651" t="str">
        <f>IF(ISBLANK(A617),$A$5,IF(AND(A617=1,A615=1,A611=1),$A$1,IF(A617=0,#REF!,$A$5)))</f>
        <v>þ</v>
      </c>
      <c r="C616" s="1002" t="s">
        <v>321</v>
      </c>
      <c r="D616" s="1002"/>
      <c r="E616" s="1003"/>
      <c r="F616" s="663"/>
    </row>
    <row r="617" spans="1:6" ht="135.75" customHeight="1">
      <c r="A617" s="77">
        <v>1</v>
      </c>
      <c r="B617" s="667"/>
      <c r="C617" s="1000" t="s">
        <v>1146</v>
      </c>
      <c r="D617" s="1000"/>
      <c r="E617" s="1001"/>
      <c r="F617" s="663" t="s">
        <v>429</v>
      </c>
    </row>
    <row r="618" spans="1:6" ht="72" customHeight="1">
      <c r="A618" s="77"/>
      <c r="B618" s="651" t="str">
        <f>IF(ISBLANK(A619),$A$5,IF(AND(A619=1,A617=1,A615=1,A611=1),$A$1,IF(A619=0,#REF!,$A$5)))</f>
        <v>þ</v>
      </c>
      <c r="C618" s="1002" t="s">
        <v>323</v>
      </c>
      <c r="D618" s="1002"/>
      <c r="E618" s="1003"/>
      <c r="F618" s="663"/>
    </row>
    <row r="619" spans="1:6" ht="118.5" customHeight="1">
      <c r="A619" s="77">
        <v>1</v>
      </c>
      <c r="B619" s="668"/>
      <c r="C619" s="1006" t="s">
        <v>1119</v>
      </c>
      <c r="D619" s="1006"/>
      <c r="E619" s="1007"/>
      <c r="F619" s="631" t="s">
        <v>736</v>
      </c>
    </row>
    <row r="620" spans="1:6" ht="24" customHeight="1">
      <c r="B620" s="623"/>
      <c r="C620" s="995" t="s">
        <v>744</v>
      </c>
      <c r="D620" s="995"/>
      <c r="E620" s="996"/>
      <c r="F620" s="624" t="s">
        <v>528</v>
      </c>
    </row>
    <row r="621" spans="1:6" ht="23.25" customHeight="1">
      <c r="A621" s="77"/>
      <c r="B621" s="651" t="str">
        <f>IF(ISBLANK(A622),$A$5,IF(AND(A622=1,A619=1,A617=1,A615=1,A611=1),$A$1,IF(A622=0,#REF!,$A$5)))</f>
        <v>þ</v>
      </c>
      <c r="C621" s="1002" t="s">
        <v>322</v>
      </c>
      <c r="D621" s="1002"/>
      <c r="E621" s="1003"/>
      <c r="F621" s="663"/>
    </row>
    <row r="622" spans="1:6" ht="112.5" customHeight="1">
      <c r="A622" s="77">
        <v>1</v>
      </c>
      <c r="B622" s="667"/>
      <c r="C622" s="1000" t="s">
        <v>253</v>
      </c>
      <c r="D622" s="1000"/>
      <c r="E622" s="1001"/>
      <c r="F622" s="788" t="s">
        <v>737</v>
      </c>
    </row>
    <row r="623" spans="1:6" ht="45" customHeight="1">
      <c r="A623" s="77"/>
      <c r="B623" s="651" t="str">
        <f>IF(ISBLANK(A624),$A$5,IF(AND(A624=1,A622=1,A619=1,A617=1,A615=1,A611=1),$A$1,IF(A624=0,#REF!,$A$5)))</f>
        <v>þ</v>
      </c>
      <c r="C623" s="1002" t="s">
        <v>324</v>
      </c>
      <c r="D623" s="1002"/>
      <c r="E623" s="1003"/>
      <c r="F623" s="663"/>
    </row>
    <row r="624" spans="1:6" ht="120" customHeight="1">
      <c r="A624" s="77">
        <v>1</v>
      </c>
      <c r="B624" s="667"/>
      <c r="C624" s="1000" t="s">
        <v>1002</v>
      </c>
      <c r="D624" s="1000"/>
      <c r="E624" s="1001"/>
      <c r="F624" s="663" t="s">
        <v>811</v>
      </c>
    </row>
    <row r="625" spans="1:6" ht="48" customHeight="1">
      <c r="A625" s="77"/>
      <c r="B625" s="651" t="str">
        <f>IF(ISBLANK(A626),$A$5,IF(AND(A626=1,A624=1,A622=1,A619=1,A617=1,A615=1,A611=1),$A$1,IF(A626=0,#REF!,$A$5)))</f>
        <v>þ</v>
      </c>
      <c r="C625" s="1002" t="s">
        <v>325</v>
      </c>
      <c r="D625" s="1002"/>
      <c r="E625" s="1003"/>
      <c r="F625" s="663"/>
    </row>
    <row r="626" spans="1:6" ht="180" customHeight="1">
      <c r="A626" s="77">
        <v>1</v>
      </c>
      <c r="B626" s="668"/>
      <c r="C626" s="1006" t="s">
        <v>812</v>
      </c>
      <c r="D626" s="1006"/>
      <c r="E626" s="1007"/>
      <c r="F626" s="764" t="s">
        <v>1003</v>
      </c>
    </row>
    <row r="627" spans="1:6" ht="11.25" customHeight="1">
      <c r="D627" s="1010"/>
      <c r="E627" s="1010"/>
      <c r="F627" s="185"/>
    </row>
    <row r="628" spans="1:6" ht="24.75" customHeight="1">
      <c r="B628" s="573"/>
      <c r="C628" s="1004" t="s">
        <v>307</v>
      </c>
      <c r="D628" s="1004"/>
      <c r="E628" s="1004"/>
      <c r="F628" s="1004"/>
    </row>
    <row r="629" spans="1:6" ht="23.25">
      <c r="B629" s="647"/>
      <c r="C629" s="618" t="s">
        <v>336</v>
      </c>
      <c r="D629" s="619" t="s">
        <v>525</v>
      </c>
      <c r="E629" s="619" t="s">
        <v>526</v>
      </c>
      <c r="F629" s="619" t="s">
        <v>531</v>
      </c>
    </row>
    <row r="630" spans="1:6" ht="81.75" customHeight="1">
      <c r="B630" s="647"/>
      <c r="C630" s="528" t="s">
        <v>813</v>
      </c>
      <c r="D630" s="648" t="s">
        <v>74</v>
      </c>
      <c r="E630" s="621" t="s">
        <v>74</v>
      </c>
      <c r="F630" s="621">
        <v>3</v>
      </c>
    </row>
    <row r="631" spans="1:6" ht="10.5" customHeight="1">
      <c r="B631" s="622"/>
      <c r="C631" s="1"/>
      <c r="D631" s="1"/>
      <c r="E631" s="1"/>
      <c r="F631" s="1"/>
    </row>
    <row r="632" spans="1:6" ht="24" customHeight="1">
      <c r="B632" s="623"/>
      <c r="C632" s="995" t="s">
        <v>744</v>
      </c>
      <c r="D632" s="995"/>
      <c r="E632" s="996"/>
      <c r="F632" s="624" t="s">
        <v>528</v>
      </c>
    </row>
    <row r="633" spans="1:6" ht="25.5" customHeight="1">
      <c r="B633" s="651" t="str">
        <f>IF(ISBLANK(A634),$A$5,IF(A634=1,$A$1,IF(A634=0,#REF!,$A$5)))</f>
        <v>þ</v>
      </c>
      <c r="C633" s="997" t="s">
        <v>326</v>
      </c>
      <c r="D633" s="997"/>
      <c r="E633" s="998"/>
      <c r="F633" s="658"/>
    </row>
    <row r="634" spans="1:6" ht="159" customHeight="1">
      <c r="A634" s="77">
        <v>1</v>
      </c>
      <c r="B634" s="667"/>
      <c r="C634" s="999" t="s">
        <v>908</v>
      </c>
      <c r="D634" s="1000"/>
      <c r="E634" s="1001"/>
      <c r="F634" s="797" t="s">
        <v>934</v>
      </c>
    </row>
    <row r="635" spans="1:6" ht="45" customHeight="1">
      <c r="A635" s="77"/>
      <c r="B635" s="651" t="str">
        <f>IF(ISBLANK(A636),$A$5,IF(AND(A636=1,A634=1),$A$1,IF(A636=0,#REF!,$A$5)))</f>
        <v>þ</v>
      </c>
      <c r="C635" s="1002" t="s">
        <v>327</v>
      </c>
      <c r="D635" s="1002"/>
      <c r="E635" s="1003"/>
      <c r="F635" s="663"/>
    </row>
    <row r="636" spans="1:6" ht="178.5" customHeight="1">
      <c r="A636" s="77">
        <v>1</v>
      </c>
      <c r="B636" s="667"/>
      <c r="C636" s="999" t="s">
        <v>1120</v>
      </c>
      <c r="D636" s="1000"/>
      <c r="E636" s="1001"/>
      <c r="F636" s="796" t="s">
        <v>933</v>
      </c>
    </row>
    <row r="637" spans="1:6" ht="45" customHeight="1">
      <c r="A637" s="77"/>
      <c r="B637" s="651" t="str">
        <f>IF(ISBLANK(A638),$A$5,IF(AND(A638=1,A636=1,A634=1),$A$1,IF(A638=0,#REF!,$A$5)))</f>
        <v>þ</v>
      </c>
      <c r="C637" s="1002" t="s">
        <v>328</v>
      </c>
      <c r="D637" s="1002"/>
      <c r="E637" s="1003"/>
      <c r="F637" s="789"/>
    </row>
    <row r="638" spans="1:6" ht="251.25" customHeight="1">
      <c r="A638" s="77">
        <v>1</v>
      </c>
      <c r="B638" s="668"/>
      <c r="C638" s="1005" t="s">
        <v>1121</v>
      </c>
      <c r="D638" s="1005"/>
      <c r="E638" s="1011"/>
      <c r="F638" s="631" t="s">
        <v>909</v>
      </c>
    </row>
    <row r="639" spans="1:6" ht="24" customHeight="1">
      <c r="B639" s="623"/>
      <c r="C639" s="995" t="s">
        <v>744</v>
      </c>
      <c r="D639" s="995"/>
      <c r="E639" s="996"/>
      <c r="F639" s="624" t="s">
        <v>528</v>
      </c>
    </row>
    <row r="640" spans="1:6" ht="46.5" customHeight="1">
      <c r="A640" s="77"/>
      <c r="B640" s="651" t="str">
        <f>IF(ISBLANK(A641),$A$5,IF(AND(A641=1,A638=1,A636=1,A634=1),$A$1,IF(A641=0,#REF!,$A$5)))</f>
        <v>þ</v>
      </c>
      <c r="C640" s="1002" t="s">
        <v>329</v>
      </c>
      <c r="D640" s="1002"/>
      <c r="E640" s="1003"/>
      <c r="F640" s="663"/>
    </row>
    <row r="641" spans="1:6" ht="103.5" customHeight="1">
      <c r="A641" s="77">
        <v>1</v>
      </c>
      <c r="B641" s="667"/>
      <c r="C641" s="999" t="s">
        <v>1004</v>
      </c>
      <c r="D641" s="1000"/>
      <c r="E641" s="1001"/>
      <c r="F641" s="918" t="s">
        <v>1005</v>
      </c>
    </row>
    <row r="642" spans="1:6" ht="30" customHeight="1">
      <c r="A642" s="77"/>
      <c r="B642" s="798" t="s">
        <v>745</v>
      </c>
      <c r="C642" s="1002" t="s">
        <v>330</v>
      </c>
      <c r="D642" s="1002"/>
      <c r="E642" s="1003"/>
      <c r="F642" s="662"/>
    </row>
    <row r="643" spans="1:6" ht="299.25" customHeight="1">
      <c r="A643" s="77">
        <v>0</v>
      </c>
      <c r="B643" s="668"/>
      <c r="C643" s="1006" t="s">
        <v>1123</v>
      </c>
      <c r="D643" s="1006"/>
      <c r="E643" s="1007"/>
      <c r="F643" s="987" t="s">
        <v>1122</v>
      </c>
    </row>
    <row r="644" spans="1:6" ht="24" customHeight="1">
      <c r="B644" s="623"/>
      <c r="C644" s="995" t="s">
        <v>744</v>
      </c>
      <c r="D644" s="995"/>
      <c r="E644" s="996"/>
      <c r="F644" s="624" t="s">
        <v>528</v>
      </c>
    </row>
    <row r="645" spans="1:6" ht="47.25" customHeight="1">
      <c r="A645" s="77"/>
      <c r="B645" s="798" t="s">
        <v>745</v>
      </c>
      <c r="C645" s="1002" t="s">
        <v>644</v>
      </c>
      <c r="D645" s="1002"/>
      <c r="E645" s="1003"/>
      <c r="F645" s="789"/>
    </row>
    <row r="646" spans="1:6" ht="409.6" customHeight="1">
      <c r="A646" s="77">
        <v>1</v>
      </c>
      <c r="B646" s="667"/>
      <c r="C646" s="999" t="s">
        <v>935</v>
      </c>
      <c r="D646" s="999"/>
      <c r="E646" s="1012"/>
      <c r="F646" s="981" t="s">
        <v>910</v>
      </c>
    </row>
    <row r="647" spans="1:6" ht="48" customHeight="1">
      <c r="A647" s="77"/>
      <c r="B647" s="798" t="s">
        <v>745</v>
      </c>
      <c r="C647" s="1002" t="s">
        <v>645</v>
      </c>
      <c r="D647" s="1002"/>
      <c r="E647" s="1003"/>
      <c r="F647" s="663"/>
    </row>
    <row r="648" spans="1:6" ht="295.5" customHeight="1">
      <c r="A648" s="77">
        <v>1</v>
      </c>
      <c r="B648" s="668"/>
      <c r="C648" s="1005" t="s">
        <v>1006</v>
      </c>
      <c r="D648" s="1005"/>
      <c r="E648" s="1011"/>
      <c r="F648" s="631" t="s">
        <v>877</v>
      </c>
    </row>
    <row r="650" spans="1:6" ht="21" customHeight="1">
      <c r="B650" s="573"/>
      <c r="C650" s="1004" t="s">
        <v>308</v>
      </c>
      <c r="D650" s="1004"/>
      <c r="E650" s="1004"/>
      <c r="F650" s="1004"/>
    </row>
    <row r="651" spans="1:6" ht="23.25">
      <c r="B651" s="647"/>
      <c r="C651" s="618" t="s">
        <v>336</v>
      </c>
      <c r="D651" s="619" t="s">
        <v>525</v>
      </c>
      <c r="E651" s="619" t="s">
        <v>526</v>
      </c>
      <c r="F651" s="619" t="s">
        <v>531</v>
      </c>
    </row>
    <row r="652" spans="1:6" ht="60" customHeight="1">
      <c r="B652" s="647"/>
      <c r="C652" s="528" t="s">
        <v>199</v>
      </c>
      <c r="D652" s="648" t="s">
        <v>47</v>
      </c>
      <c r="E652" s="769" t="str">
        <f>CONCATENATE("ระดับ ",COUNTIF(B655:B664,$A$1))</f>
        <v>ระดับ 5</v>
      </c>
      <c r="F652" s="769">
        <v>3</v>
      </c>
    </row>
    <row r="653" spans="1:6" ht="10.5" customHeight="1">
      <c r="B653" s="622"/>
      <c r="C653" s="1"/>
      <c r="D653" s="1"/>
      <c r="E653" s="1"/>
      <c r="F653" s="1"/>
    </row>
    <row r="654" spans="1:6" ht="23.25">
      <c r="B654" s="623"/>
      <c r="C654" s="995" t="s">
        <v>744</v>
      </c>
      <c r="D654" s="995"/>
      <c r="E654" s="996"/>
      <c r="F654" s="624" t="s">
        <v>528</v>
      </c>
    </row>
    <row r="655" spans="1:6" ht="44.25" customHeight="1">
      <c r="B655" s="651" t="str">
        <f>IF(ISBLANK(A656),$A$5,IF(A656=1,$A$1,IF(A656=0,#REF!,$A$5)))</f>
        <v>þ</v>
      </c>
      <c r="C655" s="997" t="s">
        <v>646</v>
      </c>
      <c r="D655" s="997"/>
      <c r="E655" s="998"/>
      <c r="F655" s="658"/>
    </row>
    <row r="656" spans="1:6" ht="156.75" customHeight="1">
      <c r="A656" s="77">
        <v>1</v>
      </c>
      <c r="B656" s="667"/>
      <c r="C656" s="1000" t="s">
        <v>1150</v>
      </c>
      <c r="D656" s="1000"/>
      <c r="E656" s="1001"/>
      <c r="F656" s="663" t="s">
        <v>709</v>
      </c>
    </row>
    <row r="657" spans="1:6" ht="43.5" customHeight="1">
      <c r="A657" s="77"/>
      <c r="B657" s="651" t="str">
        <f>IF(ISBLANK(A658),$A$5,IF(AND(A658=1,A656=1),$A$1,IF(A658=0,#REF!,$A$5)))</f>
        <v>þ</v>
      </c>
      <c r="C657" s="1002" t="s">
        <v>647</v>
      </c>
      <c r="D657" s="1002"/>
      <c r="E657" s="1003"/>
      <c r="F657" s="663"/>
    </row>
    <row r="658" spans="1:6" ht="292.5" customHeight="1">
      <c r="A658" s="77">
        <v>1</v>
      </c>
      <c r="B658" s="668"/>
      <c r="C658" s="1005" t="s">
        <v>1008</v>
      </c>
      <c r="D658" s="1006"/>
      <c r="E658" s="1007"/>
      <c r="F658" s="631" t="s">
        <v>1007</v>
      </c>
    </row>
    <row r="659" spans="1:6" ht="23.25">
      <c r="B659" s="623"/>
      <c r="C659" s="995" t="s">
        <v>744</v>
      </c>
      <c r="D659" s="995"/>
      <c r="E659" s="996"/>
      <c r="F659" s="624" t="s">
        <v>528</v>
      </c>
    </row>
    <row r="660" spans="1:6" ht="43.5" customHeight="1">
      <c r="A660" s="77"/>
      <c r="B660" s="651" t="str">
        <f>IF(ISBLANK(A661),$A$5,IF(AND(A661=1,A658=1,A656=1),$A$1,IF(A661=0,#REF!,$A$5)))</f>
        <v>þ</v>
      </c>
      <c r="C660" s="1002" t="s">
        <v>648</v>
      </c>
      <c r="D660" s="1002"/>
      <c r="E660" s="1003"/>
      <c r="F660" s="663"/>
    </row>
    <row r="661" spans="1:6" ht="199.5" customHeight="1">
      <c r="A661" s="77">
        <v>1</v>
      </c>
      <c r="B661" s="667"/>
      <c r="C661" s="1000" t="s">
        <v>1010</v>
      </c>
      <c r="D661" s="1000"/>
      <c r="E661" s="1001"/>
      <c r="F661" s="661" t="s">
        <v>1021</v>
      </c>
    </row>
    <row r="662" spans="1:6" ht="44.25" customHeight="1">
      <c r="A662" s="77"/>
      <c r="B662" s="651" t="str">
        <f>IF(ISBLANK(A663),$A$5,IF(AND(A663=1,A661=1,A658=1,A656=1),$A$1,IF(A663=0,#REF!,$A$5)))</f>
        <v>þ</v>
      </c>
      <c r="C662" s="1002" t="s">
        <v>548</v>
      </c>
      <c r="D662" s="1002"/>
      <c r="E662" s="1003"/>
      <c r="F662" s="663"/>
    </row>
    <row r="663" spans="1:6" ht="133.5" customHeight="1">
      <c r="A663" s="77">
        <v>1</v>
      </c>
      <c r="B663" s="667"/>
      <c r="C663" s="1000" t="s">
        <v>1151</v>
      </c>
      <c r="D663" s="1000"/>
      <c r="E663" s="1001"/>
      <c r="F663" s="661" t="s">
        <v>1022</v>
      </c>
    </row>
    <row r="664" spans="1:6" ht="45" customHeight="1">
      <c r="A664" s="77"/>
      <c r="B664" s="651" t="str">
        <f>IF(ISBLANK(A665),$A$5,IF(AND(A665=1,A663=1,A661=1,A658=1,A656=1),$A$1,IF(A665=0,#REF!,$A$5)))</f>
        <v>þ</v>
      </c>
      <c r="C664" s="1002" t="s">
        <v>549</v>
      </c>
      <c r="D664" s="1002"/>
      <c r="E664" s="1003"/>
      <c r="F664" s="663"/>
    </row>
    <row r="665" spans="1:6" ht="345" customHeight="1">
      <c r="A665" s="77">
        <v>1</v>
      </c>
      <c r="B665" s="668"/>
      <c r="C665" s="1005" t="s">
        <v>1152</v>
      </c>
      <c r="D665" s="1005"/>
      <c r="E665" s="1011"/>
      <c r="F665" s="953" t="s">
        <v>1023</v>
      </c>
    </row>
  </sheetData>
  <mergeCells count="422">
    <mergeCell ref="C482:E482"/>
    <mergeCell ref="C500:E500"/>
    <mergeCell ref="C527:E527"/>
    <mergeCell ref="C397:E397"/>
    <mergeCell ref="C399:E399"/>
    <mergeCell ref="C400:E400"/>
    <mergeCell ref="C401:E401"/>
    <mergeCell ref="C275:E275"/>
    <mergeCell ref="C338:E338"/>
    <mergeCell ref="C398:E398"/>
    <mergeCell ref="C416:E416"/>
    <mergeCell ref="C437:E437"/>
    <mergeCell ref="C448:E448"/>
    <mergeCell ref="C455:E455"/>
    <mergeCell ref="C329:E329"/>
    <mergeCell ref="C391:E391"/>
    <mergeCell ref="C412:E412"/>
    <mergeCell ref="C430:E430"/>
    <mergeCell ref="C445:E445"/>
    <mergeCell ref="C414:E414"/>
    <mergeCell ref="C417:E417"/>
    <mergeCell ref="C420:E420"/>
    <mergeCell ref="C419:E419"/>
    <mergeCell ref="C478:F478"/>
    <mergeCell ref="C23:E23"/>
    <mergeCell ref="C51:E51"/>
    <mergeCell ref="C73:E73"/>
    <mergeCell ref="C97:E97"/>
    <mergeCell ref="C153:E153"/>
    <mergeCell ref="C172:E172"/>
    <mergeCell ref="C232:E232"/>
    <mergeCell ref="C239:E239"/>
    <mergeCell ref="C256:E256"/>
    <mergeCell ref="C46:E46"/>
    <mergeCell ref="C66:E66"/>
    <mergeCell ref="C88:E88"/>
    <mergeCell ref="C146:E146"/>
    <mergeCell ref="C165:E165"/>
    <mergeCell ref="C226:E226"/>
    <mergeCell ref="C251:E251"/>
    <mergeCell ref="C59:E59"/>
    <mergeCell ref="C60:E60"/>
    <mergeCell ref="C67:E67"/>
    <mergeCell ref="C69:E69"/>
    <mergeCell ref="C209:F209"/>
    <mergeCell ref="D213:F213"/>
    <mergeCell ref="D214:F218"/>
    <mergeCell ref="C84:F84"/>
    <mergeCell ref="C394:E394"/>
    <mergeCell ref="C395:E395"/>
    <mergeCell ref="C396:E396"/>
    <mergeCell ref="C402:E402"/>
    <mergeCell ref="C403:E403"/>
    <mergeCell ref="C436:E436"/>
    <mergeCell ref="C404:E404"/>
    <mergeCell ref="C413:E413"/>
    <mergeCell ref="C344:E344"/>
    <mergeCell ref="D382:F383"/>
    <mergeCell ref="C377:F377"/>
    <mergeCell ref="C387:F387"/>
    <mergeCell ref="C408:F408"/>
    <mergeCell ref="D372:F372"/>
    <mergeCell ref="C346:F346"/>
    <mergeCell ref="C368:F368"/>
    <mergeCell ref="D361:F361"/>
    <mergeCell ref="D362:F366"/>
    <mergeCell ref="C426:F426"/>
    <mergeCell ref="C375:F375"/>
    <mergeCell ref="C269:E269"/>
    <mergeCell ref="C270:E270"/>
    <mergeCell ref="C271:E271"/>
    <mergeCell ref="C272:E272"/>
    <mergeCell ref="C273:E273"/>
    <mergeCell ref="C274:E274"/>
    <mergeCell ref="C357:F357"/>
    <mergeCell ref="D351:F355"/>
    <mergeCell ref="D350:F350"/>
    <mergeCell ref="C294:E294"/>
    <mergeCell ref="C295:E295"/>
    <mergeCell ref="C296:E296"/>
    <mergeCell ref="C297:E297"/>
    <mergeCell ref="C330:E330"/>
    <mergeCell ref="C331:E331"/>
    <mergeCell ref="C332:E332"/>
    <mergeCell ref="C333:E333"/>
    <mergeCell ref="D298:E298"/>
    <mergeCell ref="C300:F300"/>
    <mergeCell ref="C312:F312"/>
    <mergeCell ref="D304:F304"/>
    <mergeCell ref="D305:F310"/>
    <mergeCell ref="D316:F316"/>
    <mergeCell ref="D317:F321"/>
    <mergeCell ref="C233:E233"/>
    <mergeCell ref="C234:E234"/>
    <mergeCell ref="C235:E235"/>
    <mergeCell ref="C236:E236"/>
    <mergeCell ref="C237:E237"/>
    <mergeCell ref="C238:E238"/>
    <mergeCell ref="C240:E240"/>
    <mergeCell ref="C241:E241"/>
    <mergeCell ref="C242:E242"/>
    <mergeCell ref="C70:E70"/>
    <mergeCell ref="C68:E68"/>
    <mergeCell ref="C95:E95"/>
    <mergeCell ref="C96:E96"/>
    <mergeCell ref="C98:E98"/>
    <mergeCell ref="C99:E99"/>
    <mergeCell ref="C147:E147"/>
    <mergeCell ref="C71:E71"/>
    <mergeCell ref="C72:E72"/>
    <mergeCell ref="C74:E74"/>
    <mergeCell ref="C75:E75"/>
    <mergeCell ref="C90:E90"/>
    <mergeCell ref="C91:E91"/>
    <mergeCell ref="D116:F116"/>
    <mergeCell ref="D117:F124"/>
    <mergeCell ref="D131:F140"/>
    <mergeCell ref="D130:F130"/>
    <mergeCell ref="D106:F110"/>
    <mergeCell ref="D105:F105"/>
    <mergeCell ref="C80:E80"/>
    <mergeCell ref="C47:E47"/>
    <mergeCell ref="C48:E48"/>
    <mergeCell ref="C49:E49"/>
    <mergeCell ref="C50:E50"/>
    <mergeCell ref="C52:E52"/>
    <mergeCell ref="C53:E53"/>
    <mergeCell ref="C54:E54"/>
    <mergeCell ref="C148:E148"/>
    <mergeCell ref="C151:E151"/>
    <mergeCell ref="C94:E94"/>
    <mergeCell ref="C76:E76"/>
    <mergeCell ref="C77:E77"/>
    <mergeCell ref="C78:E78"/>
    <mergeCell ref="C79:E79"/>
    <mergeCell ref="C81:E81"/>
    <mergeCell ref="C82:E82"/>
    <mergeCell ref="C89:E89"/>
    <mergeCell ref="C55:E55"/>
    <mergeCell ref="C56:E56"/>
    <mergeCell ref="C57:E57"/>
    <mergeCell ref="C58:E58"/>
    <mergeCell ref="C126:F126"/>
    <mergeCell ref="C149:E149"/>
    <mergeCell ref="C150:E150"/>
    <mergeCell ref="C173:E173"/>
    <mergeCell ref="C156:E156"/>
    <mergeCell ref="C157:E157"/>
    <mergeCell ref="C142:F142"/>
    <mergeCell ref="C155:E155"/>
    <mergeCell ref="C158:E158"/>
    <mergeCell ref="C166:E166"/>
    <mergeCell ref="C167:E167"/>
    <mergeCell ref="C168:E168"/>
    <mergeCell ref="C169:E169"/>
    <mergeCell ref="C170:E170"/>
    <mergeCell ref="C154:E154"/>
    <mergeCell ref="C161:F161"/>
    <mergeCell ref="C152:E152"/>
    <mergeCell ref="C1:F1"/>
    <mergeCell ref="B9:C9"/>
    <mergeCell ref="B7:F7"/>
    <mergeCell ref="B3:F3"/>
    <mergeCell ref="C13:E13"/>
    <mergeCell ref="C12:E12"/>
    <mergeCell ref="C11:E11"/>
    <mergeCell ref="C29:F29"/>
    <mergeCell ref="C42:F42"/>
    <mergeCell ref="D33:F33"/>
    <mergeCell ref="C24:E24"/>
    <mergeCell ref="C25:E25"/>
    <mergeCell ref="C27:E27"/>
    <mergeCell ref="C26:E26"/>
    <mergeCell ref="C14:E14"/>
    <mergeCell ref="C15:E15"/>
    <mergeCell ref="C17:E17"/>
    <mergeCell ref="C18:E18"/>
    <mergeCell ref="C19:E19"/>
    <mergeCell ref="C20:E20"/>
    <mergeCell ref="D34:F38"/>
    <mergeCell ref="C21:E21"/>
    <mergeCell ref="C22:E22"/>
    <mergeCell ref="C16:E16"/>
    <mergeCell ref="C62:F62"/>
    <mergeCell ref="C101:F101"/>
    <mergeCell ref="C268:E268"/>
    <mergeCell ref="C243:E243"/>
    <mergeCell ref="C247:F247"/>
    <mergeCell ref="C264:F264"/>
    <mergeCell ref="C260:E260"/>
    <mergeCell ref="C244:E244"/>
    <mergeCell ref="C245:E245"/>
    <mergeCell ref="C252:E252"/>
    <mergeCell ref="C253:E253"/>
    <mergeCell ref="C254:E254"/>
    <mergeCell ref="C255:E255"/>
    <mergeCell ref="C257:E257"/>
    <mergeCell ref="C258:E258"/>
    <mergeCell ref="C259:E259"/>
    <mergeCell ref="C228:E228"/>
    <mergeCell ref="C229:E229"/>
    <mergeCell ref="C92:E92"/>
    <mergeCell ref="C93:E93"/>
    <mergeCell ref="D182:F182"/>
    <mergeCell ref="C171:E171"/>
    <mergeCell ref="C174:E174"/>
    <mergeCell ref="C175:E175"/>
    <mergeCell ref="C176:E176"/>
    <mergeCell ref="C230:E230"/>
    <mergeCell ref="C288:E288"/>
    <mergeCell ref="C283:F283"/>
    <mergeCell ref="C289:E289"/>
    <mergeCell ref="C290:E290"/>
    <mergeCell ref="C291:E291"/>
    <mergeCell ref="C287:E287"/>
    <mergeCell ref="C343:E343"/>
    <mergeCell ref="C227:E227"/>
    <mergeCell ref="C276:E276"/>
    <mergeCell ref="C277:E277"/>
    <mergeCell ref="C278:E278"/>
    <mergeCell ref="C279:E279"/>
    <mergeCell ref="C280:E280"/>
    <mergeCell ref="C281:E281"/>
    <mergeCell ref="C231:E231"/>
    <mergeCell ref="D183:F188"/>
    <mergeCell ref="C293:E293"/>
    <mergeCell ref="D194:F194"/>
    <mergeCell ref="D195:F199"/>
    <mergeCell ref="D205:F205"/>
    <mergeCell ref="D206:F207"/>
    <mergeCell ref="C222:F222"/>
    <mergeCell ref="C325:F325"/>
    <mergeCell ref="C336:E336"/>
    <mergeCell ref="C337:E337"/>
    <mergeCell ref="C339:E339"/>
    <mergeCell ref="D381:F381"/>
    <mergeCell ref="C509:E509"/>
    <mergeCell ref="C510:E510"/>
    <mergeCell ref="D516:F516"/>
    <mergeCell ref="C512:F512"/>
    <mergeCell ref="C334:E334"/>
    <mergeCell ref="C335:E335"/>
    <mergeCell ref="C439:E439"/>
    <mergeCell ref="C446:E446"/>
    <mergeCell ref="C434:E434"/>
    <mergeCell ref="C435:E435"/>
    <mergeCell ref="C421:E421"/>
    <mergeCell ref="C418:E418"/>
    <mergeCell ref="C422:E422"/>
    <mergeCell ref="C423:E423"/>
    <mergeCell ref="C424:E424"/>
    <mergeCell ref="C431:E431"/>
    <mergeCell ref="C432:E432"/>
    <mergeCell ref="C433:E433"/>
    <mergeCell ref="C441:F441"/>
    <mergeCell ref="C438:E438"/>
    <mergeCell ref="C392:E392"/>
    <mergeCell ref="C393:E393"/>
    <mergeCell ref="C340:E340"/>
    <mergeCell ref="C491:E491"/>
    <mergeCell ref="C492:E492"/>
    <mergeCell ref="C502:E502"/>
    <mergeCell ref="C503:E503"/>
    <mergeCell ref="C504:E504"/>
    <mergeCell ref="C470:E470"/>
    <mergeCell ref="C463:E463"/>
    <mergeCell ref="C475:E475"/>
    <mergeCell ref="C476:E476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341:E341"/>
    <mergeCell ref="C342:E342"/>
    <mergeCell ref="D373:F374"/>
    <mergeCell ref="C447:E447"/>
    <mergeCell ref="C449:E449"/>
    <mergeCell ref="C450:E450"/>
    <mergeCell ref="C451:E451"/>
    <mergeCell ref="C473:E473"/>
    <mergeCell ref="C474:E474"/>
    <mergeCell ref="C453:E453"/>
    <mergeCell ref="C454:E454"/>
    <mergeCell ref="C456:E456"/>
    <mergeCell ref="C459:F459"/>
    <mergeCell ref="C472:E472"/>
    <mergeCell ref="C457:E457"/>
    <mergeCell ref="C464:E464"/>
    <mergeCell ref="C465:E465"/>
    <mergeCell ref="C466:E466"/>
    <mergeCell ref="C467:E467"/>
    <mergeCell ref="C468:E468"/>
    <mergeCell ref="C469:E469"/>
    <mergeCell ref="C471:E471"/>
    <mergeCell ref="C452:E452"/>
    <mergeCell ref="F449:F452"/>
    <mergeCell ref="C523:F523"/>
    <mergeCell ref="C536:E536"/>
    <mergeCell ref="C537:E537"/>
    <mergeCell ref="C538:E538"/>
    <mergeCell ref="C545:E545"/>
    <mergeCell ref="C546:E546"/>
    <mergeCell ref="C547:E547"/>
    <mergeCell ref="C496:F496"/>
    <mergeCell ref="C493:E493"/>
    <mergeCell ref="C494:E494"/>
    <mergeCell ref="C501:E501"/>
    <mergeCell ref="D517:F521"/>
    <mergeCell ref="C505:E505"/>
    <mergeCell ref="C506:E506"/>
    <mergeCell ref="C507:E507"/>
    <mergeCell ref="C508:E508"/>
    <mergeCell ref="C548:E548"/>
    <mergeCell ref="C549:E549"/>
    <mergeCell ref="C528:E528"/>
    <mergeCell ref="C529:E529"/>
    <mergeCell ref="C530:E530"/>
    <mergeCell ref="C531:E531"/>
    <mergeCell ref="C533:E533"/>
    <mergeCell ref="C534:E534"/>
    <mergeCell ref="C535:E535"/>
    <mergeCell ref="C532:E532"/>
    <mergeCell ref="C575:E575"/>
    <mergeCell ref="C577:E577"/>
    <mergeCell ref="C578:E578"/>
    <mergeCell ref="C565:F565"/>
    <mergeCell ref="C569:E569"/>
    <mergeCell ref="C576:E576"/>
    <mergeCell ref="C550:E550"/>
    <mergeCell ref="C540:F540"/>
    <mergeCell ref="C544:E544"/>
    <mergeCell ref="C552:E552"/>
    <mergeCell ref="C553:E553"/>
    <mergeCell ref="C554:E554"/>
    <mergeCell ref="C555:E555"/>
    <mergeCell ref="C556:E556"/>
    <mergeCell ref="C557:E557"/>
    <mergeCell ref="C551:E551"/>
    <mergeCell ref="C558:E558"/>
    <mergeCell ref="C559:E559"/>
    <mergeCell ref="C560:E560"/>
    <mergeCell ref="C561:E561"/>
    <mergeCell ref="C570:E570"/>
    <mergeCell ref="C571:E571"/>
    <mergeCell ref="C572:E572"/>
    <mergeCell ref="C573:E573"/>
    <mergeCell ref="C574:E574"/>
    <mergeCell ref="C665:E665"/>
    <mergeCell ref="C599:E599"/>
    <mergeCell ref="C641:E641"/>
    <mergeCell ref="C642:E642"/>
    <mergeCell ref="C643:E643"/>
    <mergeCell ref="C645:E645"/>
    <mergeCell ref="C646:E646"/>
    <mergeCell ref="C647:E647"/>
    <mergeCell ref="C648:E648"/>
    <mergeCell ref="C655:E655"/>
    <mergeCell ref="C656:E656"/>
    <mergeCell ref="C625:E625"/>
    <mergeCell ref="C626:E626"/>
    <mergeCell ref="C633:E633"/>
    <mergeCell ref="C634:E634"/>
    <mergeCell ref="C635:E635"/>
    <mergeCell ref="C636:E636"/>
    <mergeCell ref="C637:E637"/>
    <mergeCell ref="C612:E612"/>
    <mergeCell ref="C638:E638"/>
    <mergeCell ref="C640:E640"/>
    <mergeCell ref="C615:E615"/>
    <mergeCell ref="C616:E616"/>
    <mergeCell ref="C601:E601"/>
    <mergeCell ref="C617:E617"/>
    <mergeCell ref="C663:E663"/>
    <mergeCell ref="C664:E664"/>
    <mergeCell ref="C618:E618"/>
    <mergeCell ref="C619:E619"/>
    <mergeCell ref="C621:E621"/>
    <mergeCell ref="C622:E622"/>
    <mergeCell ref="C623:E623"/>
    <mergeCell ref="C624:E624"/>
    <mergeCell ref="C628:F628"/>
    <mergeCell ref="D627:E627"/>
    <mergeCell ref="C650:F650"/>
    <mergeCell ref="C632:E632"/>
    <mergeCell ref="C654:E654"/>
    <mergeCell ref="C657:E657"/>
    <mergeCell ref="C658:E658"/>
    <mergeCell ref="C660:E660"/>
    <mergeCell ref="C661:E661"/>
    <mergeCell ref="C662:E662"/>
    <mergeCell ref="C620:E620"/>
    <mergeCell ref="C639:E639"/>
    <mergeCell ref="C644:E644"/>
    <mergeCell ref="C659:E659"/>
    <mergeCell ref="C292:E292"/>
    <mergeCell ref="C610:E610"/>
    <mergeCell ref="C611:E611"/>
    <mergeCell ref="C614:E614"/>
    <mergeCell ref="C605:F605"/>
    <mergeCell ref="C598:E598"/>
    <mergeCell ref="C579:E579"/>
    <mergeCell ref="C580:E580"/>
    <mergeCell ref="C581:E581"/>
    <mergeCell ref="C582:E582"/>
    <mergeCell ref="C583:E583"/>
    <mergeCell ref="C597:E597"/>
    <mergeCell ref="C613:E613"/>
    <mergeCell ref="C584:E584"/>
    <mergeCell ref="C591:E591"/>
    <mergeCell ref="C592:E592"/>
    <mergeCell ref="C586:F586"/>
    <mergeCell ref="C590:E590"/>
    <mergeCell ref="C609:E609"/>
    <mergeCell ref="C593:E593"/>
    <mergeCell ref="C594:E594"/>
    <mergeCell ref="C595:E595"/>
    <mergeCell ref="C596:E596"/>
    <mergeCell ref="C600:E600"/>
  </mergeCells>
  <phoneticPr fontId="5" type="noConversion"/>
  <hyperlinks>
    <hyperlink ref="F272" r:id="rId1"/>
  </hyperlinks>
  <printOptions horizontalCentered="1"/>
  <pageMargins left="0.74803149606299213" right="0.35433070866141736" top="0.59055118110236227" bottom="0.39370078740157483" header="0.31496062992125984" footer="0.31496062992125984"/>
  <pageSetup paperSize="9" scale="88" firstPageNumber="26" orientation="portrait" useFirstPageNumber="1" horizontalDpi="4294967295" r:id="rId2"/>
  <headerFooter alignWithMargins="0">
    <oddFooter>&amp;L&amp;"Browallia New,Regular"&amp;14รายงานการประเมินตนเอง ปีการศึกษา 2552&amp;C &amp;R&amp;"Browallia New,Regular"&amp;14   &amp;P</oddFooter>
  </headerFooter>
  <rowBreaks count="68" manualBreakCount="68">
    <brk id="15" min="1" max="5" man="1"/>
    <brk id="22" min="1" max="5" man="1"/>
    <brk id="28" min="1" max="5" man="1"/>
    <brk id="39" min="1" max="5" man="1"/>
    <brk id="50" min="1" max="5" man="1"/>
    <brk id="61" min="2" max="5" man="1"/>
    <brk id="72" min="1" max="5" man="1"/>
    <brk id="79" min="1" max="5" man="1"/>
    <brk id="82" min="1" max="5" man="1"/>
    <brk id="96" min="1" max="5" man="1"/>
    <brk id="100" min="2" max="5" man="1"/>
    <brk id="111" min="1" max="5" man="1"/>
    <brk id="125" min="1" max="5" man="1"/>
    <brk id="141" min="2" max="5" man="1"/>
    <brk id="152" min="1" max="5" man="1"/>
    <brk id="160" min="2" max="5" man="1"/>
    <brk id="171" min="1" max="5" man="1"/>
    <brk id="176" min="1" max="5" man="1"/>
    <brk id="189" min="1" max="5" man="1"/>
    <brk id="200" min="1" max="5" man="1"/>
    <brk id="208" min="1" max="5" man="1"/>
    <brk id="219" min="1" max="5" man="1"/>
    <brk id="231" min="1" max="5" man="1"/>
    <brk id="238" min="1" max="5" man="1"/>
    <brk id="245" min="2" max="5" man="1"/>
    <brk id="255" min="1" max="5" man="1"/>
    <brk id="261" min="2" max="5" man="1"/>
    <brk id="274" min="1" max="5" man="1"/>
    <brk id="281" min="2" max="5" man="1"/>
    <brk id="291" min="1" max="5" man="1"/>
    <brk id="298" min="1" max="5" man="1"/>
    <brk id="311" min="1" max="5" man="1"/>
    <brk id="322" min="1" max="5" man="1"/>
    <brk id="337" min="1" max="5" man="1"/>
    <brk id="344" min="2" max="5" man="1"/>
    <brk id="355" min="1" max="5" man="1"/>
    <brk id="367" min="1" max="5" man="1"/>
    <brk id="376" min="1" max="5" man="1"/>
    <brk id="384" min="1" max="5" man="1"/>
    <brk id="397" min="1" max="5" man="1"/>
    <brk id="405" min="2" max="5" man="1"/>
    <brk id="415" min="1" max="5" man="1"/>
    <brk id="424" min="1" max="5" man="1"/>
    <brk id="436" min="1" max="5" man="1"/>
    <brk id="439" min="1" max="5" man="1"/>
    <brk id="447" min="1" max="5" man="1"/>
    <brk id="454" min="1" max="5" man="1"/>
    <brk id="457" min="2" max="5" man="1"/>
    <brk id="469" min="1" max="5" man="1"/>
    <brk id="476" min="1" max="5" man="1"/>
    <brk id="494" min="1" max="5" man="1"/>
    <brk id="510" min="2" max="5" man="1"/>
    <brk id="522" min="2" max="5" man="1"/>
    <brk id="531" min="1" max="5" man="1"/>
    <brk id="539" min="2" max="5" man="1"/>
    <brk id="550" min="1" max="5" man="1"/>
    <brk id="561" min="1" max="5" man="1"/>
    <brk id="575" min="1" max="5" man="1"/>
    <brk id="584" min="1" max="5" man="1"/>
    <brk id="596" min="1" max="5" man="1"/>
    <brk id="601" min="2" max="5" man="1"/>
    <brk id="612" min="1" max="5" man="1"/>
    <brk id="619" min="1" max="5" man="1"/>
    <brk id="627" min="2" max="5" man="1"/>
    <brk id="638" min="1" max="5" man="1"/>
    <brk id="643" min="1" max="5" man="1"/>
    <brk id="648" min="1" max="5" man="1"/>
    <brk id="658" min="1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view="pageBreakPreview" zoomScaleNormal="100" workbookViewId="0"/>
  </sheetViews>
  <sheetFormatPr defaultRowHeight="18"/>
  <cols>
    <col min="1" max="1" width="31.140625" style="6" customWidth="1"/>
    <col min="2" max="2" width="18" style="6" customWidth="1"/>
    <col min="3" max="3" width="19.42578125" style="6" customWidth="1"/>
    <col min="4" max="4" width="17.140625" style="6" customWidth="1"/>
    <col min="5" max="5" width="13.42578125" style="6" customWidth="1"/>
    <col min="6" max="6" width="16.5703125" style="6" customWidth="1"/>
    <col min="7" max="16384" width="9.140625" style="6"/>
  </cols>
  <sheetData>
    <row r="1" spans="1:4" s="5" customFormat="1" ht="23.25">
      <c r="A1" s="2" t="s">
        <v>733</v>
      </c>
    </row>
    <row r="2" spans="1:4" ht="10.5" customHeight="1">
      <c r="A2" s="7"/>
    </row>
    <row r="3" spans="1:4" s="19" customFormat="1" ht="40.5" customHeight="1">
      <c r="A3" s="95" t="s">
        <v>570</v>
      </c>
      <c r="B3" s="95" t="s">
        <v>525</v>
      </c>
      <c r="C3" s="95" t="s">
        <v>526</v>
      </c>
      <c r="D3" s="95" t="s">
        <v>598</v>
      </c>
    </row>
    <row r="4" spans="1:4" ht="20.25">
      <c r="A4" s="15" t="s">
        <v>571</v>
      </c>
      <c r="B4" s="585"/>
      <c r="C4" s="585"/>
      <c r="D4" s="585"/>
    </row>
    <row r="5" spans="1:4" s="20" customFormat="1" ht="20.25">
      <c r="A5" s="16" t="s">
        <v>572</v>
      </c>
      <c r="B5" s="518" t="str">
        <f>obj1.1</f>
        <v>ระดับ 7</v>
      </c>
      <c r="C5" s="518" t="str">
        <f>res1.1</f>
        <v>ระดับ 7</v>
      </c>
      <c r="D5" s="518">
        <f>sco1.1</f>
        <v>3</v>
      </c>
    </row>
    <row r="6" spans="1:4" ht="20.25">
      <c r="A6" s="16" t="s">
        <v>573</v>
      </c>
      <c r="B6" s="518" t="str">
        <f>obj1.2</f>
        <v>ร้อยละ 80</v>
      </c>
      <c r="C6" s="586">
        <f>res1.2</f>
        <v>89.55</v>
      </c>
      <c r="D6" s="505">
        <v>2</v>
      </c>
    </row>
    <row r="7" spans="1:4" ht="21">
      <c r="A7" s="416" t="s">
        <v>574</v>
      </c>
      <c r="B7" s="587"/>
      <c r="C7" s="587"/>
      <c r="D7" s="588">
        <f>AVERAGE(D5:D6)</f>
        <v>2.5</v>
      </c>
    </row>
    <row r="8" spans="1:4" ht="20.25">
      <c r="A8" s="15" t="s">
        <v>575</v>
      </c>
      <c r="B8" s="585"/>
      <c r="C8" s="585"/>
      <c r="D8" s="585"/>
    </row>
    <row r="9" spans="1:4" s="20" customFormat="1" ht="20.25">
      <c r="A9" s="16" t="s">
        <v>576</v>
      </c>
      <c r="B9" s="518" t="str">
        <f>obj2.1</f>
        <v>ระดับ 5</v>
      </c>
      <c r="C9" s="518" t="str">
        <f>res2.1</f>
        <v>ระดับ 5</v>
      </c>
      <c r="D9" s="518">
        <f>sco2.1</f>
        <v>2</v>
      </c>
    </row>
    <row r="10" spans="1:4" s="20" customFormat="1" ht="20.25">
      <c r="A10" s="16" t="s">
        <v>577</v>
      </c>
      <c r="B10" s="518" t="str">
        <f>obj2.2</f>
        <v>ระดับ 7</v>
      </c>
      <c r="C10" s="518" t="str">
        <f>res2.2</f>
        <v>ระดับ 7</v>
      </c>
      <c r="D10" s="518">
        <f>sco2.2</f>
        <v>3</v>
      </c>
    </row>
    <row r="11" spans="1:4" s="20" customFormat="1" ht="20.25">
      <c r="A11" s="16" t="s">
        <v>578</v>
      </c>
      <c r="B11" s="518" t="str">
        <f>obj2.3</f>
        <v>ระดับ 5</v>
      </c>
      <c r="C11" s="518" t="str">
        <f>res2.3</f>
        <v>ระดับ 5</v>
      </c>
      <c r="D11" s="518">
        <f>sco2.3</f>
        <v>3</v>
      </c>
    </row>
    <row r="12" spans="1:4" s="20" customFormat="1" ht="20.25">
      <c r="A12" s="16" t="s">
        <v>579</v>
      </c>
      <c r="B12" s="505" t="str">
        <f>obj2.4</f>
        <v xml:space="preserve">ร้อยละ 0 </v>
      </c>
      <c r="C12" s="470" t="str">
        <f>res2.4</f>
        <v xml:space="preserve">ร้อยละ 0 </v>
      </c>
      <c r="D12" s="518">
        <f>sco2.4</f>
        <v>0</v>
      </c>
    </row>
    <row r="13" spans="1:4" s="20" customFormat="1" ht="63" customHeight="1">
      <c r="A13" s="16" t="s">
        <v>580</v>
      </c>
      <c r="B13" s="518" t="str">
        <f>obj2.5</f>
        <v>เอก ร้อยละ 18
โท ร้อยละ 77  
ตรี ร้อยละ 5</v>
      </c>
      <c r="C13" s="518" t="str">
        <f>res2.5</f>
        <v xml:space="preserve">  เอก ร้อยละ 18.86           โท ร้อยละ 74.56            ตรี ร้อยละ 6.58</v>
      </c>
      <c r="D13" s="518">
        <f>sco2.5</f>
        <v>1</v>
      </c>
    </row>
    <row r="14" spans="1:4" s="20" customFormat="1" ht="61.5" customHeight="1">
      <c r="A14" s="589" t="s">
        <v>581</v>
      </c>
      <c r="B14" s="518" t="str">
        <f>obj2.6</f>
        <v>ร้อยละ ศ+รศ+ผศ = 18
ร้อยละ ศ+รศ = 5</v>
      </c>
      <c r="C14" s="518" t="str">
        <f>res2.6</f>
        <v>ร้อยละ ศ+รศ+ผศ = 17.44
ร้อยละ ศ+รศ = 4.98</v>
      </c>
      <c r="D14" s="518">
        <f>sco2.6</f>
        <v>1</v>
      </c>
    </row>
    <row r="15" spans="1:4" s="20" customFormat="1" ht="20.25" customHeight="1">
      <c r="A15" s="16" t="s">
        <v>582</v>
      </c>
      <c r="B15" s="518" t="str">
        <f>obj2.7</f>
        <v>ระดับ 5</v>
      </c>
      <c r="C15" s="518" t="str">
        <f>res2.7</f>
        <v>ระดับ 5</v>
      </c>
      <c r="D15" s="518">
        <f>sco2.7</f>
        <v>3</v>
      </c>
    </row>
    <row r="16" spans="1:4" s="20" customFormat="1" ht="20.25" customHeight="1">
      <c r="A16" s="16" t="s">
        <v>583</v>
      </c>
      <c r="B16" s="518" t="str">
        <f>obj2.8</f>
        <v>5 ข้อ</v>
      </c>
      <c r="C16" s="518" t="str">
        <f>res2.8</f>
        <v>5 ข้อ</v>
      </c>
      <c r="D16" s="518">
        <f>sco2.8</f>
        <v>3</v>
      </c>
    </row>
    <row r="17" spans="1:4" s="20" customFormat="1" ht="20.25" customHeight="1">
      <c r="A17" s="16" t="s">
        <v>584</v>
      </c>
      <c r="B17" s="518" t="str">
        <f>obj2.9</f>
        <v>ร้อยละ 80</v>
      </c>
      <c r="C17" s="586">
        <f>res2.9</f>
        <v>85.31</v>
      </c>
      <c r="D17" s="518">
        <f>sco2.9</f>
        <v>3</v>
      </c>
    </row>
    <row r="18" spans="1:4" s="20" customFormat="1" ht="20.25" customHeight="1">
      <c r="A18" s="16" t="s">
        <v>585</v>
      </c>
      <c r="B18" s="518" t="str">
        <f>obj2.10</f>
        <v>ร้อยละ 90</v>
      </c>
      <c r="C18" s="586">
        <f>res2.10</f>
        <v>88.12</v>
      </c>
      <c r="D18" s="518">
        <f>sco2.10</f>
        <v>2</v>
      </c>
    </row>
    <row r="19" spans="1:4" s="20" customFormat="1" ht="20.25" customHeight="1">
      <c r="A19" s="16" t="s">
        <v>586</v>
      </c>
      <c r="B19" s="590">
        <f>obj2.11</f>
        <v>4</v>
      </c>
      <c r="C19" s="590">
        <f>res2.11</f>
        <v>4.18</v>
      </c>
      <c r="D19" s="518">
        <f>sco2.11</f>
        <v>3</v>
      </c>
    </row>
    <row r="20" spans="1:4" s="20" customFormat="1" ht="20.25" customHeight="1">
      <c r="A20" s="16" t="s">
        <v>587</v>
      </c>
      <c r="B20" s="518" t="str">
        <f>obj2.12</f>
        <v>ร้อยละ 0.350</v>
      </c>
      <c r="C20" s="591">
        <f>res2.12</f>
        <v>0.54900000000000004</v>
      </c>
      <c r="D20" s="518">
        <f>sco2.12</f>
        <v>3</v>
      </c>
    </row>
    <row r="21" spans="1:4" ht="21">
      <c r="A21" s="416" t="s">
        <v>588</v>
      </c>
      <c r="B21" s="587"/>
      <c r="C21" s="587"/>
      <c r="D21" s="588">
        <f>AVERAGE(D9:D20)</f>
        <v>2.25</v>
      </c>
    </row>
    <row r="22" spans="1:4" ht="20.25" customHeight="1">
      <c r="A22" s="15" t="s">
        <v>589</v>
      </c>
      <c r="B22" s="585"/>
      <c r="C22" s="585"/>
      <c r="D22" s="592"/>
    </row>
    <row r="23" spans="1:4" s="20" customFormat="1" ht="20.25" customHeight="1">
      <c r="A23" s="16" t="s">
        <v>590</v>
      </c>
      <c r="B23" s="518" t="str">
        <f>obj3.1</f>
        <v>ระดับ 8</v>
      </c>
      <c r="C23" s="518" t="str">
        <f>res3.1</f>
        <v>ระดับ 8</v>
      </c>
      <c r="D23" s="518">
        <f>sco3.1</f>
        <v>3</v>
      </c>
    </row>
    <row r="24" spans="1:4" s="20" customFormat="1" ht="20.25" customHeight="1">
      <c r="A24" s="16" t="s">
        <v>591</v>
      </c>
      <c r="B24" s="518" t="str">
        <f>obj3.2</f>
        <v>ระดับ 4</v>
      </c>
      <c r="C24" s="518" t="str">
        <f>res3.2</f>
        <v>ระดับ 4</v>
      </c>
      <c r="D24" s="518">
        <f>sco3.2</f>
        <v>3</v>
      </c>
    </row>
    <row r="25" spans="1:4" ht="21">
      <c r="A25" s="416" t="s">
        <v>592</v>
      </c>
      <c r="B25" s="587"/>
      <c r="C25" s="587"/>
      <c r="D25" s="588">
        <f>AVERAGE(D23:D24)</f>
        <v>3</v>
      </c>
    </row>
    <row r="26" spans="1:4" ht="20.25">
      <c r="A26" s="15" t="s">
        <v>593</v>
      </c>
      <c r="B26" s="585"/>
      <c r="C26" s="585"/>
      <c r="D26" s="585"/>
    </row>
    <row r="27" spans="1:4" s="20" customFormat="1" ht="20.25">
      <c r="A27" s="16" t="s">
        <v>594</v>
      </c>
      <c r="B27" s="518" t="str">
        <f>obj4.1</f>
        <v>6 ข้อ</v>
      </c>
      <c r="C27" s="518" t="str">
        <f>res4.1</f>
        <v>6 ข้อ</v>
      </c>
      <c r="D27" s="518">
        <f>sco4.1</f>
        <v>3</v>
      </c>
    </row>
    <row r="28" spans="1:4" s="20" customFormat="1" ht="20.25">
      <c r="A28" s="16" t="s">
        <v>595</v>
      </c>
      <c r="B28" s="518" t="str">
        <f>obj4.2</f>
        <v>4 ข้อ</v>
      </c>
      <c r="C28" s="518" t="str">
        <f>res4.2</f>
        <v>4 ข้อ</v>
      </c>
      <c r="D28" s="518">
        <f>sco4.2</f>
        <v>3</v>
      </c>
    </row>
    <row r="29" spans="1:4" s="20" customFormat="1" ht="20.25">
      <c r="A29" s="16" t="s">
        <v>596</v>
      </c>
      <c r="B29" s="518" t="str">
        <f>obj4.3</f>
        <v>30,000 บาท</v>
      </c>
      <c r="C29" s="518" t="str">
        <f>res4.3</f>
        <v xml:space="preserve">42,843.47 บาท </v>
      </c>
      <c r="D29" s="518">
        <f>sco4.3</f>
        <v>3</v>
      </c>
    </row>
    <row r="30" spans="1:4" s="20" customFormat="1" ht="20.25">
      <c r="A30" s="16" t="s">
        <v>597</v>
      </c>
      <c r="B30" s="518" t="str">
        <f>obj4.4</f>
        <v>ร้อยละ 20</v>
      </c>
      <c r="C30" s="586">
        <f>res4.4</f>
        <v>21.32</v>
      </c>
      <c r="D30" s="518">
        <f>sco4.4</f>
        <v>2</v>
      </c>
    </row>
    <row r="31" spans="1:4" ht="21">
      <c r="A31" s="416" t="s">
        <v>634</v>
      </c>
      <c r="B31" s="587"/>
      <c r="C31" s="587"/>
      <c r="D31" s="588">
        <f>AVERAGE(D27:D30)</f>
        <v>2.75</v>
      </c>
    </row>
    <row r="32" spans="1:4" ht="20.25" customHeight="1">
      <c r="A32" s="15" t="s">
        <v>635</v>
      </c>
      <c r="B32" s="592"/>
      <c r="C32" s="592"/>
      <c r="D32" s="592"/>
    </row>
    <row r="33" spans="1:4" s="20" customFormat="1" ht="20.25" customHeight="1">
      <c r="A33" s="16" t="s">
        <v>636</v>
      </c>
      <c r="B33" s="518" t="str">
        <f>obj5.1</f>
        <v>ระดับ 7</v>
      </c>
      <c r="C33" s="518" t="str">
        <f>res5.1</f>
        <v>ระดับ 7</v>
      </c>
      <c r="D33" s="518">
        <f>sco5.1</f>
        <v>3</v>
      </c>
    </row>
    <row r="34" spans="1:4" s="20" customFormat="1" ht="20.25" customHeight="1">
      <c r="A34" s="16" t="s">
        <v>637</v>
      </c>
      <c r="B34" s="518" t="str">
        <f>obj5.2</f>
        <v xml:space="preserve">ร้อยละ 15 </v>
      </c>
      <c r="C34" s="586">
        <f>res5.2</f>
        <v>35.94</v>
      </c>
      <c r="D34" s="518">
        <f>sco5.2</f>
        <v>3</v>
      </c>
    </row>
    <row r="35" spans="1:4" s="20" customFormat="1" ht="20.25" customHeight="1">
      <c r="A35" s="16" t="s">
        <v>638</v>
      </c>
      <c r="B35" s="518" t="str">
        <f>obj5.3</f>
        <v xml:space="preserve">ร้อยละ 30 </v>
      </c>
      <c r="C35" s="586">
        <f>res5.3</f>
        <v>34.17</v>
      </c>
      <c r="D35" s="518">
        <f>sco5.3</f>
        <v>2</v>
      </c>
    </row>
    <row r="36" spans="1:4" s="20" customFormat="1" ht="20.25" customHeight="1">
      <c r="A36" s="16" t="s">
        <v>639</v>
      </c>
      <c r="B36" s="590">
        <f>obj5.4</f>
        <v>4</v>
      </c>
      <c r="C36" s="593">
        <f>res5.4</f>
        <v>4.1900000000000004</v>
      </c>
      <c r="D36" s="518">
        <f>sco5.4</f>
        <v>3</v>
      </c>
    </row>
    <row r="37" spans="1:4" s="20" customFormat="1" ht="20.25" customHeight="1">
      <c r="A37" s="16" t="s">
        <v>640</v>
      </c>
      <c r="B37" s="518" t="str">
        <f>obj5.5</f>
        <v>6 แหล่ง</v>
      </c>
      <c r="C37" s="518" t="str">
        <f>res5.5</f>
        <v xml:space="preserve">6 แหล่ง </v>
      </c>
      <c r="D37" s="518">
        <f>sco5.5</f>
        <v>3</v>
      </c>
    </row>
    <row r="38" spans="1:4" s="20" customFormat="1" ht="20.25" customHeight="1">
      <c r="A38" s="416" t="s">
        <v>641</v>
      </c>
      <c r="B38" s="587"/>
      <c r="C38" s="587"/>
      <c r="D38" s="588">
        <f>(D33+D34+D35+D36+D37)/5</f>
        <v>2.8</v>
      </c>
    </row>
    <row r="39" spans="1:4" ht="20.25" customHeight="1">
      <c r="A39" s="15" t="s">
        <v>642</v>
      </c>
      <c r="B39" s="592"/>
      <c r="C39" s="585"/>
      <c r="D39" s="592"/>
    </row>
    <row r="40" spans="1:4" s="20" customFormat="1" ht="20.25" customHeight="1">
      <c r="A40" s="16" t="s">
        <v>599</v>
      </c>
      <c r="B40" s="518" t="str">
        <f>obj6.1</f>
        <v>ระดับ 6</v>
      </c>
      <c r="C40" s="518" t="str">
        <f>res6.1</f>
        <v>ระดับ 6</v>
      </c>
      <c r="D40" s="518">
        <f>sco6.1</f>
        <v>3</v>
      </c>
    </row>
    <row r="41" spans="1:4" ht="20.25" customHeight="1">
      <c r="A41" s="416" t="s">
        <v>184</v>
      </c>
      <c r="B41" s="587"/>
      <c r="C41" s="587"/>
      <c r="D41" s="588">
        <f>D40</f>
        <v>3</v>
      </c>
    </row>
    <row r="42" spans="1:4" ht="20.25" customHeight="1">
      <c r="A42" s="15" t="s">
        <v>600</v>
      </c>
      <c r="B42" s="592"/>
      <c r="C42" s="592"/>
      <c r="D42" s="592"/>
    </row>
    <row r="43" spans="1:4" s="20" customFormat="1" ht="20.25" customHeight="1">
      <c r="A43" s="16" t="s">
        <v>601</v>
      </c>
      <c r="B43" s="518" t="str">
        <f>obj7.1</f>
        <v>5 ข้อ</v>
      </c>
      <c r="C43" s="518" t="str">
        <f>res7.1</f>
        <v>4 ข้อ</v>
      </c>
      <c r="D43" s="518">
        <f>sco7.1</f>
        <v>2</v>
      </c>
    </row>
    <row r="44" spans="1:4" s="20" customFormat="1" ht="20.25" customHeight="1">
      <c r="A44" s="16" t="s">
        <v>602</v>
      </c>
      <c r="B44" s="518" t="str">
        <f>obj7.2</f>
        <v>ระดับ 4</v>
      </c>
      <c r="C44" s="518" t="str">
        <f>res7.2</f>
        <v>ระดับ 4</v>
      </c>
      <c r="D44" s="913">
        <f>sco7.2</f>
        <v>3</v>
      </c>
    </row>
    <row r="45" spans="1:4" s="20" customFormat="1" ht="20.25" customHeight="1">
      <c r="A45" s="16" t="s">
        <v>603</v>
      </c>
      <c r="B45" s="518" t="str">
        <f>obj7.3</f>
        <v>ระดับ 5</v>
      </c>
      <c r="C45" s="518" t="str">
        <f>res7.3</f>
        <v>ระดับ 5</v>
      </c>
      <c r="D45" s="518">
        <f>sco7.3</f>
        <v>3</v>
      </c>
    </row>
    <row r="46" spans="1:4" s="20" customFormat="1" ht="20.25" customHeight="1">
      <c r="A46" s="16" t="s">
        <v>604</v>
      </c>
      <c r="B46" s="518" t="str">
        <f>obj7.4</f>
        <v>ระดับ 6</v>
      </c>
      <c r="C46" s="518" t="str">
        <f>res7.4</f>
        <v>ระดับ 6</v>
      </c>
      <c r="D46" s="518">
        <f>sco7.4</f>
        <v>3</v>
      </c>
    </row>
    <row r="47" spans="1:4" s="20" customFormat="1" ht="20.25" customHeight="1">
      <c r="A47" s="16" t="s">
        <v>605</v>
      </c>
      <c r="B47" s="518" t="str">
        <f>obj7.5</f>
        <v>ระดับ 6</v>
      </c>
      <c r="C47" s="518" t="str">
        <f>res7.5</f>
        <v>ระดับ 6</v>
      </c>
      <c r="D47" s="505">
        <f>sco7.5</f>
        <v>3</v>
      </c>
    </row>
    <row r="48" spans="1:4" s="20" customFormat="1" ht="20.25" customHeight="1">
      <c r="A48" s="16" t="s">
        <v>606</v>
      </c>
      <c r="B48" s="518" t="str">
        <f>obj7.6</f>
        <v>ระดับ 5</v>
      </c>
      <c r="C48" s="518" t="str">
        <f>res7.6</f>
        <v>ระดับ 5</v>
      </c>
      <c r="D48" s="518">
        <f>sco7.6</f>
        <v>3</v>
      </c>
    </row>
    <row r="49" spans="1:6" s="20" customFormat="1" ht="20.25" customHeight="1">
      <c r="A49" s="16" t="s">
        <v>607</v>
      </c>
      <c r="B49" s="518" t="str">
        <f>obj7.7</f>
        <v>ร้อยละ 0.50</v>
      </c>
      <c r="C49" s="586">
        <f>res7.7</f>
        <v>0.88</v>
      </c>
      <c r="D49" s="518">
        <f>sco7.7</f>
        <v>1</v>
      </c>
    </row>
    <row r="50" spans="1:6" s="20" customFormat="1" ht="20.25" customHeight="1">
      <c r="A50" s="16" t="s">
        <v>173</v>
      </c>
      <c r="B50" s="518" t="str">
        <f>obj7.8</f>
        <v>ระดับ 5</v>
      </c>
      <c r="C50" s="518" t="str">
        <f>res7.8</f>
        <v>ระดับ 5</v>
      </c>
      <c r="D50" s="518">
        <f>sco7.8</f>
        <v>3</v>
      </c>
    </row>
    <row r="51" spans="1:6" s="20" customFormat="1" ht="20.25" customHeight="1">
      <c r="A51" s="16" t="s">
        <v>174</v>
      </c>
      <c r="B51" s="518" t="str">
        <f>obj7.9</f>
        <v>ระดับ 8</v>
      </c>
      <c r="C51" s="518" t="str">
        <f>res7.9</f>
        <v>ระดับ 8</v>
      </c>
      <c r="D51" s="518">
        <f>sco7.9</f>
        <v>3</v>
      </c>
    </row>
    <row r="52" spans="1:6" ht="21">
      <c r="A52" s="416" t="s">
        <v>175</v>
      </c>
      <c r="B52" s="587"/>
      <c r="C52" s="587"/>
      <c r="D52" s="588">
        <f>AVERAGE(D43:D51)</f>
        <v>2.6666666666666665</v>
      </c>
    </row>
    <row r="53" spans="1:6" ht="20.25" customHeight="1">
      <c r="A53" s="15" t="s">
        <v>176</v>
      </c>
      <c r="B53" s="592"/>
      <c r="C53" s="592"/>
      <c r="D53" s="592"/>
    </row>
    <row r="54" spans="1:6" s="20" customFormat="1" ht="20.25" customHeight="1">
      <c r="A54" s="16" t="s">
        <v>177</v>
      </c>
      <c r="B54" s="518" t="str">
        <f>obj8.1</f>
        <v>ระดับ 7</v>
      </c>
      <c r="C54" s="518" t="str">
        <f>res8.1</f>
        <v>ระดับ 7</v>
      </c>
      <c r="D54" s="518">
        <f>sco8.1</f>
        <v>3</v>
      </c>
    </row>
    <row r="55" spans="1:6" s="20" customFormat="1" ht="20.25" customHeight="1">
      <c r="A55" s="16" t="s">
        <v>178</v>
      </c>
      <c r="B55" s="518" t="str">
        <f>obj8.2</f>
        <v>ระดับ 5</v>
      </c>
      <c r="C55" s="518" t="str">
        <f>res8.2</f>
        <v>ระดับ 5</v>
      </c>
      <c r="D55" s="518">
        <f>sco8.2</f>
        <v>3</v>
      </c>
    </row>
    <row r="56" spans="1:6" ht="20.25" customHeight="1">
      <c r="A56" s="416" t="s">
        <v>621</v>
      </c>
      <c r="B56" s="587"/>
      <c r="C56" s="587"/>
      <c r="D56" s="588">
        <f>AVERAGE(D54:D55)</f>
        <v>3</v>
      </c>
    </row>
    <row r="57" spans="1:6" ht="20.25" customHeight="1">
      <c r="A57" s="15" t="s">
        <v>179</v>
      </c>
      <c r="B57" s="592"/>
      <c r="C57" s="592"/>
      <c r="D57" s="592"/>
    </row>
    <row r="58" spans="1:6" s="20" customFormat="1" ht="20.25" customHeight="1">
      <c r="A58" s="16" t="s">
        <v>180</v>
      </c>
      <c r="B58" s="518" t="str">
        <f>obj9.1</f>
        <v>ระดับ 7</v>
      </c>
      <c r="C58" s="518" t="str">
        <f>res9.1</f>
        <v>ระดับ 7</v>
      </c>
      <c r="D58" s="518">
        <f>sco9.1</f>
        <v>3</v>
      </c>
    </row>
    <row r="59" spans="1:6" s="20" customFormat="1" ht="20.25" customHeight="1">
      <c r="A59" s="16" t="s">
        <v>181</v>
      </c>
      <c r="B59" s="518" t="str">
        <f>obj9.2</f>
        <v>ระดับ 7</v>
      </c>
      <c r="C59" s="518" t="str">
        <f>res9.2</f>
        <v>ระดับ 7</v>
      </c>
      <c r="D59" s="518">
        <f>sco9.2</f>
        <v>3</v>
      </c>
    </row>
    <row r="60" spans="1:6" s="20" customFormat="1" ht="20.25" customHeight="1">
      <c r="A60" s="16" t="s">
        <v>182</v>
      </c>
      <c r="B60" s="518" t="str">
        <f>obj9.3</f>
        <v>ระดับ 5</v>
      </c>
      <c r="C60" s="518" t="str">
        <f>res9.3</f>
        <v>ระดับ 5</v>
      </c>
      <c r="D60" s="518">
        <f>sco9.3</f>
        <v>3</v>
      </c>
    </row>
    <row r="61" spans="1:6" ht="21">
      <c r="A61" s="416" t="s">
        <v>183</v>
      </c>
      <c r="B61" s="587"/>
      <c r="C61" s="587"/>
      <c r="D61" s="588">
        <f>AVERAGE(D58:D60)</f>
        <v>3</v>
      </c>
    </row>
    <row r="62" spans="1:6" ht="42">
      <c r="A62" s="17" t="s">
        <v>286</v>
      </c>
      <c r="B62" s="54"/>
      <c r="C62" s="54"/>
      <c r="D62" s="346">
        <f>(D5+D6+D9+D10+D11+D12+D13+D14+D15+D16+D17+D18+D19+D20+D23+D24+D27+D28+D29+D30+D33+D34+D35+D36+D37+D40+D43+D44+D45+D46+D47+D48+D49+D51+D50+D54+D55+D58+D59+D60)/40</f>
        <v>2.625</v>
      </c>
    </row>
    <row r="63" spans="1:6" ht="21">
      <c r="A63" s="12"/>
      <c r="B63" s="18"/>
      <c r="C63" s="18"/>
      <c r="D63" s="13"/>
    </row>
    <row r="64" spans="1:6" s="21" customFormat="1" ht="42">
      <c r="A64" s="92" t="s">
        <v>622</v>
      </c>
      <c r="B64" s="93" t="s">
        <v>332</v>
      </c>
      <c r="C64" s="93" t="s">
        <v>333</v>
      </c>
      <c r="D64" s="93" t="s">
        <v>334</v>
      </c>
      <c r="E64" s="94" t="s">
        <v>335</v>
      </c>
      <c r="F64" s="94" t="s">
        <v>277</v>
      </c>
    </row>
    <row r="65" spans="1:6" s="21" customFormat="1" ht="40.5">
      <c r="A65" s="58" t="s">
        <v>623</v>
      </c>
      <c r="B65" s="62" t="s">
        <v>276</v>
      </c>
      <c r="C65" s="62">
        <f>sco1.1</f>
        <v>3</v>
      </c>
      <c r="D65" s="62">
        <f>sco1.2</f>
        <v>2</v>
      </c>
      <c r="E65" s="103">
        <f>(sco1.1+sco1.2)/2</f>
        <v>2.5</v>
      </c>
      <c r="F65" s="78" t="str">
        <f>IF(AND(E65&lt;=1.5,E65&gt;0),"ยังไม่ได้คุณภาพ",IF(AND(E65&gt;=1.51,E65&lt;=2),"พอใช้",IF(AND(E65&gt;=2.01,E65&lt;=2.5),"ดี",IF(AND(E65&gt;=2.51,E65&lt;=3),"ดีมาก","ยังไม่มีข้อมูล"))))</f>
        <v>ดี</v>
      </c>
    </row>
    <row r="66" spans="1:6" s="21" customFormat="1" ht="21">
      <c r="A66" s="58" t="s">
        <v>624</v>
      </c>
      <c r="B66" s="62">
        <f>(sco2.4+sco2.5+sco2.6)/3</f>
        <v>0.66666666666666663</v>
      </c>
      <c r="C66" s="62">
        <f>(sco2.1+sco2.2+sco2.3+sco2.7+sco2.8)/5</f>
        <v>2.8</v>
      </c>
      <c r="D66" s="62">
        <f>(sco2.9+sco2.10+sco2.11+sco2.12)/4</f>
        <v>2.75</v>
      </c>
      <c r="E66" s="104">
        <f>(sco2.4+sco2.5+sco2.6+sco2.1+sco2.2+sco2.3+sco2.7+sco2.8+sco2.9+sco2.10+sco2.11+sco2.12)/12</f>
        <v>2.25</v>
      </c>
      <c r="F66" s="78" t="str">
        <f t="shared" ref="F66:F74" si="0">IF(AND(E66&lt;=1.5,E66&gt;0),"ยังไม่ได้คุณภาพ",IF(AND(E66&gt;=1.51,E66&lt;=2),"พอใช้",IF(AND(E66&gt;=2.01,E66&lt;=2.5),"ดี",IF(AND(E66&gt;=2.51,E66&lt;=3),"ดีมาก","ยังไม่มีข้อมูล"))))</f>
        <v>ดี</v>
      </c>
    </row>
    <row r="67" spans="1:6" s="21" customFormat="1" ht="24" customHeight="1">
      <c r="A67" s="58" t="s">
        <v>129</v>
      </c>
      <c r="B67" s="62" t="s">
        <v>276</v>
      </c>
      <c r="C67" s="62">
        <f>(sco3.1+sco3.2)/2</f>
        <v>3</v>
      </c>
      <c r="D67" s="62" t="s">
        <v>276</v>
      </c>
      <c r="E67" s="104">
        <f>(sco3.1+sco3.2)/2</f>
        <v>3</v>
      </c>
      <c r="F67" s="78" t="str">
        <f t="shared" si="0"/>
        <v>ดีมาก</v>
      </c>
    </row>
    <row r="68" spans="1:6" s="21" customFormat="1" ht="21">
      <c r="A68" s="58" t="s">
        <v>96</v>
      </c>
      <c r="B68" s="62">
        <f>sco4.3</f>
        <v>3</v>
      </c>
      <c r="C68" s="62">
        <f>(sco4.1+sco4.2)/2</f>
        <v>3</v>
      </c>
      <c r="D68" s="62">
        <f>sco4.4</f>
        <v>2</v>
      </c>
      <c r="E68" s="104">
        <f>(sco4.3+sco4.1+sco4.2+sco4.4)/4</f>
        <v>2.75</v>
      </c>
      <c r="F68" s="78" t="str">
        <f t="shared" si="0"/>
        <v>ดีมาก</v>
      </c>
    </row>
    <row r="69" spans="1:6" s="21" customFormat="1" ht="21">
      <c r="A69" s="58" t="s">
        <v>625</v>
      </c>
      <c r="B69" s="62">
        <f>sco5.2</f>
        <v>3</v>
      </c>
      <c r="C69" s="62">
        <f>sco5.1</f>
        <v>3</v>
      </c>
      <c r="D69" s="62">
        <f>(sco5.3+sco5.4+sco5.5)/3</f>
        <v>2.6666666666666665</v>
      </c>
      <c r="E69" s="104">
        <f>(sco5.2+sco5.1+sco5.3+sco5.4+sco5.5)/5</f>
        <v>2.8</v>
      </c>
      <c r="F69" s="78" t="str">
        <f t="shared" si="0"/>
        <v>ดีมาก</v>
      </c>
    </row>
    <row r="70" spans="1:6" s="21" customFormat="1" ht="21">
      <c r="A70" s="58" t="s">
        <v>97</v>
      </c>
      <c r="B70" s="62" t="s">
        <v>276</v>
      </c>
      <c r="C70" s="62">
        <f>sco6.1</f>
        <v>3</v>
      </c>
      <c r="D70" s="62" t="s">
        <v>276</v>
      </c>
      <c r="E70" s="104">
        <f>sco6.1</f>
        <v>3</v>
      </c>
      <c r="F70" s="78" t="str">
        <f t="shared" si="0"/>
        <v>ดีมาก</v>
      </c>
    </row>
    <row r="71" spans="1:6" s="21" customFormat="1" ht="21">
      <c r="A71" s="58" t="s">
        <v>626</v>
      </c>
      <c r="B71" s="62">
        <f>sco7.5</f>
        <v>3</v>
      </c>
      <c r="C71" s="62">
        <f>(sco7.1+sco7.2+sco7.3+sco7.4+sco7.8)/5</f>
        <v>2.8</v>
      </c>
      <c r="D71" s="62">
        <f>(sco7.6+sco7.7+sco7.9)/3</f>
        <v>2.3333333333333335</v>
      </c>
      <c r="E71" s="104">
        <f>(sco7.5+sco7.1+sco7.2+sco7.3+sco7.4+sco7.8+sco7.6+sco7.7+sco7.9)/9</f>
        <v>2.6666666666666665</v>
      </c>
      <c r="F71" s="78" t="str">
        <f t="shared" si="0"/>
        <v>ดีมาก</v>
      </c>
    </row>
    <row r="72" spans="1:6" s="21" customFormat="1" ht="21">
      <c r="A72" s="58" t="s">
        <v>95</v>
      </c>
      <c r="B72" s="62" t="s">
        <v>276</v>
      </c>
      <c r="C72" s="62">
        <f>(sco8.1+sco8.2)/2</f>
        <v>3</v>
      </c>
      <c r="D72" s="62" t="s">
        <v>276</v>
      </c>
      <c r="E72" s="104">
        <f>(sco8.1+sco8.2)/2</f>
        <v>3</v>
      </c>
      <c r="F72" s="78" t="str">
        <f t="shared" si="0"/>
        <v>ดีมาก</v>
      </c>
    </row>
    <row r="73" spans="1:6" s="21" customFormat="1" ht="21">
      <c r="A73" s="58" t="s">
        <v>627</v>
      </c>
      <c r="B73" s="62" t="s">
        <v>276</v>
      </c>
      <c r="C73" s="62">
        <f>(sco9.1+sco9.2)/2</f>
        <v>3</v>
      </c>
      <c r="D73" s="62">
        <f>sco9.3</f>
        <v>3</v>
      </c>
      <c r="E73" s="104">
        <f>(sco9.1+sco9.2+sco9.3)/3</f>
        <v>3</v>
      </c>
      <c r="F73" s="78" t="str">
        <f t="shared" si="0"/>
        <v>ดีมาก</v>
      </c>
    </row>
    <row r="74" spans="1:6" s="21" customFormat="1" ht="21">
      <c r="A74" s="9" t="s">
        <v>335</v>
      </c>
      <c r="B74" s="97">
        <f>(sco2.4+sco2.5+sco2.6+sco4.3+sco5.2+sco7.5)/6</f>
        <v>1.8333333333333333</v>
      </c>
      <c r="C74" s="97">
        <f>(sco1.1+sco2.1+sco2.2+sco2.3+sco2.7+sco2.8+sco3.1+sco3.2+sco4.1+sco4.2+sco5.1+sco6.1+sco7.1+sco7.2+sco7.3+sco7.4+sco7.8+sco8.1+sco8.2+sco9.1+sco9.2)/21</f>
        <v>2.9047619047619047</v>
      </c>
      <c r="D74" s="97">
        <f>(sco1.2+sco2.9+sco2.10+sco2.11+sco2.12+sco4.4+sco5.3+sco5.4+sco5.5+sco7.6+sco7.7+sco7.9+sco9.3)/13</f>
        <v>2.5384615384615383</v>
      </c>
      <c r="E74" s="329">
        <f>(sco2.4+sco2.5+sco2.6+sco4.3+sco5.2+sco7.5+sco1.1+sco2.1+sco2.2+sco2.3+sco2.7+sco2.8+sco3.1+sco3.2+sco4.1+sco4.2+sco5.1+sco6.1+sco7.1+sco7.2+sco7.3+sco7.4+sco7.8+sco8.1+sco8.2+sco9.1+sco9.2+sco1.2+sco2.9+sco2.10+sco2.11+sco2.12+sco4.4+sco5.3+sco5.4+sco5.5+sco7.6+sco7.7+sco7.9+sco9.3)/40</f>
        <v>2.625</v>
      </c>
      <c r="F74" s="189" t="str">
        <f t="shared" si="0"/>
        <v>ดีมาก</v>
      </c>
    </row>
    <row r="75" spans="1:6" s="21" customFormat="1" ht="21">
      <c r="A75" s="9" t="s">
        <v>277</v>
      </c>
      <c r="B75" s="78" t="str">
        <f>IF(AND(B74&lt;=1.5,B74&gt;0),"ยังไม่ได้คุณภาพ",IF(AND(B74&gt;=1.51,B74&lt;=2),"พอใช้",IF(AND(B74&gt;=2.01,B74&lt;=2.5),"ดี",IF(AND(B74&gt;=2.51,B74&lt;=3),"ดีมาก","ยังไม่มีข้อมูล"))))</f>
        <v>พอใช้</v>
      </c>
      <c r="C75" s="78" t="str">
        <f>IF(AND(C74&lt;=1.5,C74&gt;0),"ยังไม่ได้คุณภาพ",IF(AND(C74&gt;=1.51,C74&lt;=2),"พอใช้",IF(AND(C74&gt;=2.01,C74&lt;=2.5),"ดี",IF(AND(C74&gt;=2.51,C74&lt;=3),"ดีมาก","ยังไม่มีข้อมูล"))))</f>
        <v>ดีมาก</v>
      </c>
      <c r="D75" s="78" t="str">
        <f>IF(AND(D74&lt;=1.5,D74&gt;0),"ยังไม่ได้คุณภาพ",IF(AND(D74&gt;=1.51,D74&lt;=2),"พอใช้",IF(AND(D74&gt;=2.01,D74&lt;=2.5),"ดี",IF(AND(D74&gt;=2.51,D74&lt;=3),"ดีมาก","ยังไม่มีข้อมูล"))))</f>
        <v>ดีมาก</v>
      </c>
    </row>
  </sheetData>
  <phoneticPr fontId="5" type="noConversion"/>
  <pageMargins left="0.74803149606299213" right="0" top="0.59055118110236227" bottom="0.27559055118110237" header="0.31496062992125984" footer="0.11811023622047245"/>
  <pageSetup paperSize="9" scale="80" firstPageNumber="95" orientation="portrait" useFirstPageNumber="1" horizontalDpi="4294967293" r:id="rId1"/>
  <headerFooter alignWithMargins="0">
    <oddFooter>&amp;L&amp;"Browallia New,Regular"&amp;14รายงานการประเมินตนเอง ปีการศึกษา 2552&amp;C  &amp;R&amp;"Browallia New,Regular"&amp;14 &amp;P</oddFooter>
  </headerFooter>
  <rowBreaks count="1" manualBreakCount="1">
    <brk id="3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61"/>
  <sheetViews>
    <sheetView view="pageBreakPreview" zoomScaleNormal="100" workbookViewId="0"/>
  </sheetViews>
  <sheetFormatPr defaultRowHeight="18"/>
  <cols>
    <col min="1" max="1" width="33.85546875" style="6" customWidth="1"/>
    <col min="2" max="2" width="17.7109375" style="6" customWidth="1"/>
    <col min="3" max="3" width="20.140625" style="6" customWidth="1"/>
    <col min="4" max="4" width="17" style="6" customWidth="1"/>
    <col min="5" max="5" width="11.28515625" style="6" customWidth="1"/>
    <col min="6" max="6" width="14.140625" style="6" customWidth="1"/>
    <col min="7" max="16384" width="9.140625" style="6"/>
  </cols>
  <sheetData>
    <row r="1" spans="1:5" s="5" customFormat="1" ht="23.25">
      <c r="A1" s="2" t="s">
        <v>734</v>
      </c>
    </row>
    <row r="2" spans="1:5" ht="5.25" customHeight="1"/>
    <row r="3" spans="1:5" ht="36" customHeight="1">
      <c r="A3" s="95" t="s">
        <v>383</v>
      </c>
      <c r="B3" s="95" t="s">
        <v>525</v>
      </c>
      <c r="C3" s="95" t="s">
        <v>526</v>
      </c>
      <c r="D3" s="95" t="s">
        <v>598</v>
      </c>
      <c r="E3" s="20"/>
    </row>
    <row r="4" spans="1:5" ht="20.25" customHeight="1">
      <c r="A4" s="15" t="s">
        <v>384</v>
      </c>
      <c r="B4" s="585"/>
      <c r="C4" s="585"/>
      <c r="D4" s="585"/>
      <c r="E4" s="20"/>
    </row>
    <row r="5" spans="1:5" s="20" customFormat="1" ht="18.95" customHeight="1">
      <c r="A5" s="16" t="s">
        <v>584</v>
      </c>
      <c r="B5" s="518" t="str">
        <f>obj2.9</f>
        <v>ร้อยละ 80</v>
      </c>
      <c r="C5" s="586">
        <f>res2.9</f>
        <v>85.31</v>
      </c>
      <c r="D5" s="518">
        <f>sco2.9</f>
        <v>3</v>
      </c>
    </row>
    <row r="6" spans="1:5" s="20" customFormat="1" ht="18.95" customHeight="1">
      <c r="A6" s="16" t="s">
        <v>585</v>
      </c>
      <c r="B6" s="518" t="str">
        <f>obj2.10</f>
        <v>ร้อยละ 90</v>
      </c>
      <c r="C6" s="586">
        <f>res2.10</f>
        <v>88.12</v>
      </c>
      <c r="D6" s="518">
        <f>sco2.10</f>
        <v>2</v>
      </c>
    </row>
    <row r="7" spans="1:5" s="20" customFormat="1" ht="18.95" customHeight="1">
      <c r="A7" s="16" t="s">
        <v>586</v>
      </c>
      <c r="B7" s="590">
        <f>obj2.11</f>
        <v>4</v>
      </c>
      <c r="C7" s="518">
        <f>res2.11</f>
        <v>4.18</v>
      </c>
      <c r="D7" s="518">
        <f>sco2.11</f>
        <v>3</v>
      </c>
    </row>
    <row r="8" spans="1:5" s="20" customFormat="1" ht="18.95" customHeight="1">
      <c r="A8" s="16" t="s">
        <v>587</v>
      </c>
      <c r="B8" s="518" t="str">
        <f>obj2.12</f>
        <v>ร้อยละ 0.350</v>
      </c>
      <c r="C8" s="591">
        <f>res2.12</f>
        <v>0.54900000000000004</v>
      </c>
      <c r="D8" s="518">
        <f>sco2.12</f>
        <v>3</v>
      </c>
    </row>
    <row r="9" spans="1:5" ht="20.25" customHeight="1">
      <c r="A9" s="331" t="s">
        <v>311</v>
      </c>
      <c r="B9" s="587"/>
      <c r="C9" s="587"/>
      <c r="D9" s="588">
        <f>AVERAGE(D5:D8)</f>
        <v>2.75</v>
      </c>
      <c r="E9" s="20"/>
    </row>
    <row r="10" spans="1:5" ht="18.95" customHeight="1">
      <c r="A10" s="15" t="s">
        <v>385</v>
      </c>
      <c r="B10" s="585"/>
      <c r="C10" s="585"/>
      <c r="D10" s="585"/>
      <c r="E10" s="20"/>
    </row>
    <row r="11" spans="1:5" s="20" customFormat="1" ht="18.95" customHeight="1">
      <c r="A11" s="16" t="s">
        <v>572</v>
      </c>
      <c r="B11" s="518" t="str">
        <f>obj1.1</f>
        <v>ระดับ 7</v>
      </c>
      <c r="C11" s="518" t="str">
        <f>res1.1</f>
        <v>ระดับ 7</v>
      </c>
      <c r="D11" s="518">
        <f>sco1.1</f>
        <v>3</v>
      </c>
    </row>
    <row r="12" spans="1:5" s="20" customFormat="1" ht="18.95" customHeight="1">
      <c r="A12" s="16" t="s">
        <v>573</v>
      </c>
      <c r="B12" s="518" t="str">
        <f>obj1.2</f>
        <v>ร้อยละ 80</v>
      </c>
      <c r="C12" s="586">
        <f>res1.2</f>
        <v>89.55</v>
      </c>
      <c r="D12" s="518">
        <f>sco1.2</f>
        <v>2</v>
      </c>
    </row>
    <row r="13" spans="1:5" s="20" customFormat="1" ht="18.95" customHeight="1">
      <c r="A13" s="16" t="s">
        <v>582</v>
      </c>
      <c r="B13" s="518" t="str">
        <f>obj2.7</f>
        <v>ระดับ 5</v>
      </c>
      <c r="C13" s="518" t="str">
        <f>res2.7</f>
        <v>ระดับ 5</v>
      </c>
      <c r="D13" s="518">
        <f>sco2.7</f>
        <v>3</v>
      </c>
    </row>
    <row r="14" spans="1:5" s="20" customFormat="1" ht="18.95" customHeight="1">
      <c r="A14" s="16" t="s">
        <v>601</v>
      </c>
      <c r="B14" s="518" t="str">
        <f>obj7.1</f>
        <v>5 ข้อ</v>
      </c>
      <c r="C14" s="518" t="str">
        <f>res7.1</f>
        <v>4 ข้อ</v>
      </c>
      <c r="D14" s="518">
        <f>sco7.1</f>
        <v>2</v>
      </c>
    </row>
    <row r="15" spans="1:5" s="20" customFormat="1" ht="18.95" customHeight="1">
      <c r="A15" s="16" t="s">
        <v>602</v>
      </c>
      <c r="B15" s="518" t="str">
        <f>obj7.2</f>
        <v>ระดับ 4</v>
      </c>
      <c r="C15" s="518" t="str">
        <f>res7.2</f>
        <v>ระดับ 4</v>
      </c>
      <c r="D15" s="518">
        <f>sco7.2</f>
        <v>3</v>
      </c>
    </row>
    <row r="16" spans="1:5" s="20" customFormat="1" ht="18.95" customHeight="1">
      <c r="A16" s="16" t="s">
        <v>604</v>
      </c>
      <c r="B16" s="518" t="str">
        <f>obj7.4</f>
        <v>ระดับ 6</v>
      </c>
      <c r="C16" s="518" t="str">
        <f>res7.4</f>
        <v>ระดับ 6</v>
      </c>
      <c r="D16" s="518">
        <f>sco7.4</f>
        <v>3</v>
      </c>
    </row>
    <row r="17" spans="1:5" s="20" customFormat="1" ht="18.95" customHeight="1">
      <c r="A17" s="16" t="s">
        <v>386</v>
      </c>
      <c r="B17" s="518" t="str">
        <f>obj7.5</f>
        <v>ระดับ 6</v>
      </c>
      <c r="C17" s="518" t="str">
        <f>res7.5</f>
        <v>ระดับ 6</v>
      </c>
      <c r="D17" s="518">
        <f>sco7.5</f>
        <v>3</v>
      </c>
    </row>
    <row r="18" spans="1:5" s="20" customFormat="1" ht="18.95" customHeight="1">
      <c r="A18" s="16" t="s">
        <v>606</v>
      </c>
      <c r="B18" s="518" t="str">
        <f>obj7.6</f>
        <v>ระดับ 5</v>
      </c>
      <c r="C18" s="518" t="str">
        <f>res7.6</f>
        <v>ระดับ 5</v>
      </c>
      <c r="D18" s="518">
        <f>sco7.6</f>
        <v>3</v>
      </c>
    </row>
    <row r="19" spans="1:5" s="20" customFormat="1" ht="18.95" customHeight="1">
      <c r="A19" s="16" t="s">
        <v>607</v>
      </c>
      <c r="B19" s="518" t="str">
        <f>obj7.7</f>
        <v>ร้อยละ 0.50</v>
      </c>
      <c r="C19" s="586">
        <f>res7.7</f>
        <v>0.88</v>
      </c>
      <c r="D19" s="518">
        <f>sco7.7</f>
        <v>1</v>
      </c>
    </row>
    <row r="20" spans="1:5" s="20" customFormat="1" ht="18.95" customHeight="1">
      <c r="A20" s="16" t="s">
        <v>173</v>
      </c>
      <c r="B20" s="518" t="str">
        <f>obj7.8</f>
        <v>ระดับ 5</v>
      </c>
      <c r="C20" s="518" t="str">
        <f>res7.8</f>
        <v>ระดับ 5</v>
      </c>
      <c r="D20" s="518">
        <f>sco7.8</f>
        <v>3</v>
      </c>
    </row>
    <row r="21" spans="1:5" s="20" customFormat="1" ht="18.95" customHeight="1">
      <c r="A21" s="16" t="s">
        <v>174</v>
      </c>
      <c r="B21" s="518" t="str">
        <f>obj7.9</f>
        <v>ระดับ 8</v>
      </c>
      <c r="C21" s="518" t="str">
        <f>res7.9</f>
        <v>ระดับ 8</v>
      </c>
      <c r="D21" s="518">
        <f>sco7.9</f>
        <v>3</v>
      </c>
    </row>
    <row r="22" spans="1:5" s="20" customFormat="1" ht="18.95" customHeight="1">
      <c r="A22" s="16" t="s">
        <v>177</v>
      </c>
      <c r="B22" s="518" t="str">
        <f>obj8.1</f>
        <v>ระดับ 7</v>
      </c>
      <c r="C22" s="518" t="str">
        <f>res8.1</f>
        <v>ระดับ 7</v>
      </c>
      <c r="D22" s="518">
        <f>sco8.1</f>
        <v>3</v>
      </c>
    </row>
    <row r="23" spans="1:5" s="20" customFormat="1" ht="18.95" customHeight="1">
      <c r="A23" s="16" t="s">
        <v>178</v>
      </c>
      <c r="B23" s="518" t="str">
        <f>obj8.2</f>
        <v>ระดับ 5</v>
      </c>
      <c r="C23" s="518" t="str">
        <f>res8.2</f>
        <v>ระดับ 5</v>
      </c>
      <c r="D23" s="518">
        <f>sco8.2</f>
        <v>3</v>
      </c>
    </row>
    <row r="24" spans="1:5" s="20" customFormat="1" ht="18.95" customHeight="1">
      <c r="A24" s="16" t="s">
        <v>180</v>
      </c>
      <c r="B24" s="518" t="str">
        <f>obj9.1</f>
        <v>ระดับ 7</v>
      </c>
      <c r="C24" s="518" t="str">
        <f>res9.1</f>
        <v>ระดับ 7</v>
      </c>
      <c r="D24" s="518">
        <f>sco9.1</f>
        <v>3</v>
      </c>
    </row>
    <row r="25" spans="1:5" s="20" customFormat="1" ht="18.95" customHeight="1">
      <c r="A25" s="16" t="s">
        <v>181</v>
      </c>
      <c r="B25" s="518" t="str">
        <f>obj9.2</f>
        <v>ระดับ 7</v>
      </c>
      <c r="C25" s="518" t="str">
        <f>res9.2</f>
        <v>ระดับ 7</v>
      </c>
      <c r="D25" s="518">
        <f>sco9.2</f>
        <v>3</v>
      </c>
    </row>
    <row r="26" spans="1:5" s="20" customFormat="1" ht="18.95" customHeight="1">
      <c r="A26" s="16" t="s">
        <v>182</v>
      </c>
      <c r="B26" s="518" t="str">
        <f>obj9.3</f>
        <v>ระดับ 5</v>
      </c>
      <c r="C26" s="518" t="str">
        <f>res9.3</f>
        <v>ระดับ 5</v>
      </c>
      <c r="D26" s="518">
        <f>sco9.3</f>
        <v>3</v>
      </c>
    </row>
    <row r="27" spans="1:5" ht="20.25" customHeight="1">
      <c r="A27" s="331" t="s">
        <v>312</v>
      </c>
      <c r="B27" s="587"/>
      <c r="C27" s="587"/>
      <c r="D27" s="588">
        <f>AVERAGE(D11:D26)</f>
        <v>2.75</v>
      </c>
      <c r="E27" s="20"/>
    </row>
    <row r="28" spans="1:5" ht="20.25" customHeight="1">
      <c r="A28" s="15" t="s">
        <v>387</v>
      </c>
      <c r="B28" s="585"/>
      <c r="C28" s="585"/>
      <c r="D28" s="585"/>
      <c r="E28" s="20"/>
    </row>
    <row r="29" spans="1:5" s="20" customFormat="1" ht="20.25" customHeight="1">
      <c r="A29" s="16" t="s">
        <v>576</v>
      </c>
      <c r="B29" s="518" t="str">
        <f>obj2.1</f>
        <v>ระดับ 5</v>
      </c>
      <c r="C29" s="518" t="str">
        <f>res2.1</f>
        <v>ระดับ 5</v>
      </c>
      <c r="D29" s="518">
        <f>sco2.1</f>
        <v>2</v>
      </c>
    </row>
    <row r="30" spans="1:5" s="20" customFormat="1" ht="20.25" customHeight="1">
      <c r="A30" s="16" t="s">
        <v>577</v>
      </c>
      <c r="B30" s="518" t="str">
        <f>obj2.2</f>
        <v>ระดับ 7</v>
      </c>
      <c r="C30" s="518" t="str">
        <f>res2.2</f>
        <v>ระดับ 7</v>
      </c>
      <c r="D30" s="518">
        <f>sco2.2</f>
        <v>3</v>
      </c>
    </row>
    <row r="31" spans="1:5" s="20" customFormat="1" ht="20.25" customHeight="1">
      <c r="A31" s="16" t="s">
        <v>578</v>
      </c>
      <c r="B31" s="518" t="str">
        <f>obj2.3</f>
        <v>ระดับ 5</v>
      </c>
      <c r="C31" s="518" t="str">
        <f>res2.3</f>
        <v>ระดับ 5</v>
      </c>
      <c r="D31" s="518">
        <f>sco2.3</f>
        <v>3</v>
      </c>
    </row>
    <row r="32" spans="1:5" s="20" customFormat="1" ht="20.25">
      <c r="A32" s="16" t="s">
        <v>579</v>
      </c>
      <c r="B32" s="518" t="str">
        <f>obj2.4</f>
        <v xml:space="preserve">ร้อยละ 0 </v>
      </c>
      <c r="C32" s="519" t="str">
        <f>res2.4</f>
        <v xml:space="preserve">ร้อยละ 0 </v>
      </c>
      <c r="D32" s="518">
        <f>sco2.4</f>
        <v>0</v>
      </c>
    </row>
    <row r="33" spans="1:5" s="20" customFormat="1" ht="57" customHeight="1">
      <c r="A33" s="16" t="s">
        <v>388</v>
      </c>
      <c r="B33" s="518" t="str">
        <f>obj2.5</f>
        <v>เอก ร้อยละ 18
โท ร้อยละ 77  
ตรี ร้อยละ 5</v>
      </c>
      <c r="C33" s="518" t="str">
        <f>res2.5</f>
        <v xml:space="preserve">  เอก ร้อยละ 18.86           โท ร้อยละ 74.56            ตรี ร้อยละ 6.58</v>
      </c>
      <c r="D33" s="518">
        <f>sco2.5</f>
        <v>1</v>
      </c>
    </row>
    <row r="34" spans="1:5" s="20" customFormat="1" ht="60.75" customHeight="1">
      <c r="A34" s="16" t="s">
        <v>389</v>
      </c>
      <c r="B34" s="518" t="str">
        <f>obj2.6</f>
        <v>ร้อยละ ศ+รศ+ผศ = 18
ร้อยละ ศ+รศ = 5</v>
      </c>
      <c r="C34" s="518" t="str">
        <f>res2.6</f>
        <v>ร้อยละ ศ+รศ+ผศ = 17.44
ร้อยละ ศ+รศ = 4.98</v>
      </c>
      <c r="D34" s="518">
        <f>sco2.6</f>
        <v>1</v>
      </c>
    </row>
    <row r="35" spans="1:5" s="20" customFormat="1" ht="18.95" customHeight="1">
      <c r="A35" s="16" t="s">
        <v>309</v>
      </c>
      <c r="B35" s="518" t="str">
        <f>obj2.8</f>
        <v>5 ข้อ</v>
      </c>
      <c r="C35" s="518" t="str">
        <f>res2.8</f>
        <v>5 ข้อ</v>
      </c>
      <c r="D35" s="518">
        <f>sco2.8</f>
        <v>3</v>
      </c>
    </row>
    <row r="36" spans="1:5" s="20" customFormat="1" ht="18.95" customHeight="1">
      <c r="A36" s="16" t="s">
        <v>590</v>
      </c>
      <c r="B36" s="518" t="str">
        <f>obj3.1</f>
        <v>ระดับ 8</v>
      </c>
      <c r="C36" s="518" t="str">
        <f>res3.1</f>
        <v>ระดับ 8</v>
      </c>
      <c r="D36" s="518">
        <f>sco3.1</f>
        <v>3</v>
      </c>
      <c r="E36" s="12"/>
    </row>
    <row r="37" spans="1:5" s="20" customFormat="1" ht="18.95" customHeight="1">
      <c r="A37" s="16" t="s">
        <v>591</v>
      </c>
      <c r="B37" s="518" t="str">
        <f>obj3.2</f>
        <v>ระดับ 4</v>
      </c>
      <c r="C37" s="518" t="str">
        <f>res3.2</f>
        <v>ระดับ 4</v>
      </c>
      <c r="D37" s="518">
        <f>sco3.2</f>
        <v>3</v>
      </c>
      <c r="E37" s="12"/>
    </row>
    <row r="38" spans="1:5" s="20" customFormat="1" ht="18.95" customHeight="1">
      <c r="A38" s="16" t="s">
        <v>594</v>
      </c>
      <c r="B38" s="518" t="str">
        <f>obj4.1</f>
        <v>6 ข้อ</v>
      </c>
      <c r="C38" s="518" t="str">
        <f>res4.1</f>
        <v>6 ข้อ</v>
      </c>
      <c r="D38" s="518">
        <f>sco4.1</f>
        <v>3</v>
      </c>
      <c r="E38" s="12"/>
    </row>
    <row r="39" spans="1:5" s="20" customFormat="1" ht="18.95" customHeight="1">
      <c r="A39" s="16" t="s">
        <v>596</v>
      </c>
      <c r="B39" s="518" t="str">
        <f>obj4.3</f>
        <v>30,000 บาท</v>
      </c>
      <c r="C39" s="518" t="str">
        <f>res4.3</f>
        <v xml:space="preserve">42,843.47 บาท </v>
      </c>
      <c r="D39" s="518">
        <f>sco4.3</f>
        <v>3</v>
      </c>
      <c r="E39" s="12"/>
    </row>
    <row r="40" spans="1:5" s="20" customFormat="1" ht="18.95" customHeight="1">
      <c r="A40" s="16" t="s">
        <v>597</v>
      </c>
      <c r="B40" s="518" t="str">
        <f>obj4.4</f>
        <v>ร้อยละ 20</v>
      </c>
      <c r="C40" s="586">
        <f>res4.4</f>
        <v>21.32</v>
      </c>
      <c r="D40" s="518">
        <f>sco4.4</f>
        <v>2</v>
      </c>
      <c r="E40" s="12"/>
    </row>
    <row r="41" spans="1:5" s="20" customFormat="1" ht="18.95" customHeight="1">
      <c r="A41" s="16" t="s">
        <v>636</v>
      </c>
      <c r="B41" s="518" t="str">
        <f>obj5.1</f>
        <v>ระดับ 7</v>
      </c>
      <c r="C41" s="518" t="str">
        <f>res5.1</f>
        <v>ระดับ 7</v>
      </c>
      <c r="D41" s="518">
        <f>sco5.1</f>
        <v>3</v>
      </c>
      <c r="E41" s="12"/>
    </row>
    <row r="42" spans="1:5" s="20" customFormat="1" ht="18.95" customHeight="1">
      <c r="A42" s="16" t="s">
        <v>637</v>
      </c>
      <c r="B42" s="518" t="str">
        <f>obj5.2</f>
        <v xml:space="preserve">ร้อยละ 15 </v>
      </c>
      <c r="C42" s="586">
        <f>res5.2</f>
        <v>35.94</v>
      </c>
      <c r="D42" s="518">
        <f>sco5.2</f>
        <v>3</v>
      </c>
      <c r="E42" s="12"/>
    </row>
    <row r="43" spans="1:5" s="20" customFormat="1" ht="18.95" customHeight="1">
      <c r="A43" s="16" t="s">
        <v>638</v>
      </c>
      <c r="B43" s="518" t="str">
        <f>obj5.3</f>
        <v xml:space="preserve">ร้อยละ 30 </v>
      </c>
      <c r="C43" s="586">
        <f>res5.3</f>
        <v>34.17</v>
      </c>
      <c r="D43" s="518">
        <f>sco5.3</f>
        <v>2</v>
      </c>
      <c r="E43" s="12"/>
    </row>
    <row r="44" spans="1:5" s="20" customFormat="1" ht="18.95" customHeight="1">
      <c r="A44" s="16" t="s">
        <v>639</v>
      </c>
      <c r="B44" s="518">
        <f>obj5.4</f>
        <v>4</v>
      </c>
      <c r="C44" s="590">
        <f>res5.4</f>
        <v>4.1900000000000004</v>
      </c>
      <c r="D44" s="518">
        <f>sco5.4</f>
        <v>3</v>
      </c>
      <c r="E44" s="12"/>
    </row>
    <row r="45" spans="1:5" s="20" customFormat="1" ht="18.95" customHeight="1">
      <c r="A45" s="16" t="s">
        <v>640</v>
      </c>
      <c r="B45" s="518" t="str">
        <f>obj5.5</f>
        <v>6 แหล่ง</v>
      </c>
      <c r="C45" s="518" t="str">
        <f>res5.5</f>
        <v xml:space="preserve">6 แหล่ง </v>
      </c>
      <c r="D45" s="518">
        <f>sco5.5</f>
        <v>3</v>
      </c>
      <c r="E45" s="12"/>
    </row>
    <row r="46" spans="1:5" s="20" customFormat="1" ht="18.95" customHeight="1">
      <c r="A46" s="16" t="s">
        <v>313</v>
      </c>
      <c r="B46" s="518" t="str">
        <f>obj6.1</f>
        <v>ระดับ 6</v>
      </c>
      <c r="C46" s="518" t="str">
        <f>res6.1</f>
        <v>ระดับ 6</v>
      </c>
      <c r="D46" s="518">
        <f>sco6.1</f>
        <v>3</v>
      </c>
      <c r="E46" s="13"/>
    </row>
    <row r="47" spans="1:5" ht="20.25" customHeight="1">
      <c r="A47" s="331" t="s">
        <v>314</v>
      </c>
      <c r="B47" s="594"/>
      <c r="C47" s="594"/>
      <c r="D47" s="588">
        <f>(D29+D30+D31+D32+D33+D34+D35+D36+D37+D38+D39+D40+D41+D42+D43+D44+D45+D46)/18</f>
        <v>2.4444444444444446</v>
      </c>
      <c r="E47" s="12"/>
    </row>
    <row r="48" spans="1:5" ht="20.25" customHeight="1">
      <c r="A48" s="15" t="s">
        <v>310</v>
      </c>
      <c r="B48" s="592"/>
      <c r="C48" s="592"/>
      <c r="D48" s="592"/>
      <c r="E48" s="12"/>
    </row>
    <row r="49" spans="1:6" s="20" customFormat="1" ht="20.25" customHeight="1">
      <c r="A49" s="16" t="s">
        <v>595</v>
      </c>
      <c r="B49" s="518" t="str">
        <f>obj4.2</f>
        <v>4 ข้อ</v>
      </c>
      <c r="C49" s="518" t="str">
        <f>res4.2</f>
        <v>4 ข้อ</v>
      </c>
      <c r="D49" s="518">
        <f>sco4.2</f>
        <v>3</v>
      </c>
      <c r="E49" s="12"/>
    </row>
    <row r="50" spans="1:6" s="20" customFormat="1" ht="20.25" customHeight="1">
      <c r="A50" s="16" t="s">
        <v>603</v>
      </c>
      <c r="B50" s="518" t="str">
        <f>obj7.3</f>
        <v>ระดับ 5</v>
      </c>
      <c r="C50" s="518" t="str">
        <f>res7.3</f>
        <v>ระดับ 5</v>
      </c>
      <c r="D50" s="518">
        <f>sco7.3</f>
        <v>3</v>
      </c>
      <c r="E50" s="12"/>
    </row>
    <row r="51" spans="1:6" ht="20.25" customHeight="1">
      <c r="A51" s="331" t="s">
        <v>315</v>
      </c>
      <c r="B51" s="587"/>
      <c r="C51" s="587"/>
      <c r="D51" s="588">
        <f>AVERAGE(D49:D50)</f>
        <v>3</v>
      </c>
      <c r="E51" s="11"/>
    </row>
    <row r="52" spans="1:6" ht="40.5" customHeight="1">
      <c r="A52" s="14" t="s">
        <v>287</v>
      </c>
      <c r="B52" s="54"/>
      <c r="C52" s="54"/>
      <c r="D52" s="346">
        <f>(D5+D6+D7+D8+D11+D12+D13+D14+D15+D16+D17+D18+D19+D20+D21+D22+D23+D24+D25+D26+D29+D30+D31+D32+D33+D34+D35+D36+D37+D38+D39+D40+D41+D42+D43+D44+D45+D46+D49+D50)/40</f>
        <v>2.625</v>
      </c>
      <c r="E52" s="11"/>
    </row>
    <row r="53" spans="1:6" s="67" customFormat="1" ht="40.5" customHeight="1">
      <c r="A53" s="65"/>
      <c r="B53" s="63"/>
      <c r="C53" s="63"/>
      <c r="D53" s="64"/>
      <c r="E53" s="66"/>
    </row>
    <row r="54" spans="1:6" ht="43.5" customHeight="1">
      <c r="A54" s="95" t="s">
        <v>383</v>
      </c>
      <c r="B54" s="93" t="s">
        <v>332</v>
      </c>
      <c r="C54" s="93" t="s">
        <v>333</v>
      </c>
      <c r="D54" s="93" t="s">
        <v>334</v>
      </c>
      <c r="E54" s="96" t="s">
        <v>335</v>
      </c>
      <c r="F54" s="96" t="s">
        <v>277</v>
      </c>
    </row>
    <row r="55" spans="1:6" ht="40.5" customHeight="1">
      <c r="A55" s="55" t="s">
        <v>316</v>
      </c>
      <c r="B55" s="59" t="s">
        <v>276</v>
      </c>
      <c r="C55" s="59" t="s">
        <v>276</v>
      </c>
      <c r="D55" s="59">
        <f>(sco2.9+sco2.10+sco2.11+sco2.12)/4</f>
        <v>2.75</v>
      </c>
      <c r="E55" s="98">
        <f>(sco2.9+sco2.10+sco2.11+sco2.12)/4</f>
        <v>2.75</v>
      </c>
      <c r="F55" s="78" t="str">
        <f>IF(AND(E55&lt;=1.5,E55&gt;0),"ยังไม่ได้คุณภาพ",IF(AND(E55&gt;=1.51,E55&lt;=2),"พอใช้",IF(AND(E55&gt;=2.01,E55&lt;=2.5),"ดี",IF(AND(E55&gt;=2.51,E55&lt;=3),"ดีมาก","ยังไม่มีข้อมูล"))))</f>
        <v>ดีมาก</v>
      </c>
    </row>
    <row r="56" spans="1:6" ht="40.5">
      <c r="A56" s="55" t="s">
        <v>317</v>
      </c>
      <c r="B56" s="59"/>
      <c r="C56" s="59"/>
      <c r="D56" s="59"/>
      <c r="E56" s="99"/>
      <c r="F56" s="79"/>
    </row>
    <row r="57" spans="1:6" ht="40.5">
      <c r="A57" s="56" t="s">
        <v>318</v>
      </c>
      <c r="B57" s="60">
        <f>sco7.5</f>
        <v>3</v>
      </c>
      <c r="C57" s="60">
        <f>(sco1.1+sco2.7+sco7.1+sco7.2+sco7.4+sco7.8+sco8.1+sco8.2+sco9.1+sco9.2)/10</f>
        <v>2.9</v>
      </c>
      <c r="D57" s="60">
        <f>(sco1.2+sco7.6+sco7.7+sco7.9+sco9.3)/5</f>
        <v>2.4</v>
      </c>
      <c r="E57" s="100">
        <f>(sco7.5+sco1.1+sco2.7+sco7.1+sco7.2+sco7.4+sco7.8+sco8.1+sco8.2+sco9.1+sco9.2+sco1.2+sco7.6+sco7.7+sco7.9+sco9.3)/16</f>
        <v>2.75</v>
      </c>
      <c r="F57" s="80" t="str">
        <f>IF(AND(E57&lt;=1.5,E57&gt;0),"ยังไม่ได้คุณภาพ",IF(AND(E57&gt;=1.51,E57&lt;=2),"พอใช้",IF(AND(E57&gt;=2.01,E57&lt;=2.5),"ดี",IF(AND(E57&gt;=2.51,E57&lt;=3),"ดีมาก","ยังไม่มีข้อมูล"))))</f>
        <v>ดีมาก</v>
      </c>
    </row>
    <row r="58" spans="1:6" ht="40.5">
      <c r="A58" s="57" t="s">
        <v>319</v>
      </c>
      <c r="B58" s="73">
        <f>(sco2.4+sco2.5+sco2.6+sco4.3+sco5.2)/5</f>
        <v>1.6</v>
      </c>
      <c r="C58" s="73">
        <f>(sco2.1+sco2.2+sco2.3+sco2.8+sco3.1+sco3.2+sco4.1+sco5.1+sco6.1)/9</f>
        <v>2.8888888888888888</v>
      </c>
      <c r="D58" s="74">
        <f>(sco4.4+sco5.3+sco5.4+sco5.5)/4</f>
        <v>2.5</v>
      </c>
      <c r="E58" s="101">
        <f>(sco2.4+sco2.5+sco2.6+sco4.3+sco5.2+sco2.1+sco2.2+sco2.3+sco2.8+sco3.1+sco3.2+sco4.1+sco5.1+sco6.1+sco4.4+sco5.3+sco5.4+sco5.5)/18</f>
        <v>2.4444444444444446</v>
      </c>
      <c r="F58" s="81" t="str">
        <f>IF(AND(E58&lt;=1.5,E58&gt;0),"ยังไม่ได้คุณภาพ",IF(AND(E58&gt;=1.51,E58&lt;=2),"พอใช้",IF(AND(E58&gt;=2.01,E58&lt;=2.5),"ดี",IF(AND(E58&gt;=2.51,E58&lt;=3),"ดีมาก","ยังไม่มีข้อมูล"))))</f>
        <v>ดี</v>
      </c>
    </row>
    <row r="59" spans="1:6" ht="40.5">
      <c r="A59" s="58" t="s">
        <v>320</v>
      </c>
      <c r="B59" s="82" t="s">
        <v>276</v>
      </c>
      <c r="C59" s="82">
        <f>(sco4.2+sco7.3)/2</f>
        <v>3</v>
      </c>
      <c r="D59" s="82" t="s">
        <v>276</v>
      </c>
      <c r="E59" s="102">
        <f>(sco4.2+sco7.3)/2</f>
        <v>3</v>
      </c>
      <c r="F59" s="78" t="str">
        <f>IF(AND(E59&lt;=1.5,E59&gt;0),"ยังไม่ได้คุณภาพ",IF(AND(E59&gt;=1.51,E59&lt;=2),"พอใช้",IF(AND(E59&gt;=2.01,E59&lt;=2.5),"ดี",IF(AND(E59&gt;=2.51,E59&lt;=3),"ดีมาก","ยังไม่มีข้อมูล"))))</f>
        <v>ดีมาก</v>
      </c>
    </row>
    <row r="60" spans="1:6" ht="21">
      <c r="A60" s="9" t="s">
        <v>335</v>
      </c>
      <c r="B60" s="97">
        <f>(sco2.4+sco2.5+sco2.6+sco4.3+sco5.2+sco7.5)/6</f>
        <v>1.8333333333333333</v>
      </c>
      <c r="C60" s="97">
        <f>(sco1.1+sco2.1+sco2.2+sco2.3+sco2.7+sco2.8+sco3.1+sco3.2+sco4.1+sco4.2+sco5.1+sco6.1+sco7.1+sco7.2+sco7.3+sco7.4+sco7.8+sco8.1+sco8.2+sco9.1+sco9.2)/21</f>
        <v>2.9047619047619047</v>
      </c>
      <c r="D60" s="97">
        <f>(sco1.2+sco2.9+sco2.10+sco2.11+sco2.12+sco4.4+sco5.3+sco5.4+sco5.5+sco7.6+sco7.7+sco7.9+sco9.3)/13</f>
        <v>2.5384615384615383</v>
      </c>
      <c r="E60" s="329">
        <f>(sco2.4+sco2.5+sco2.6+sco4.3+sco5.2+sco7.5+sco1.1+sco2.1+sco2.2+sco2.3+sco2.7+sco2.8+sco3.1+sco3.2+sco4.1+sco4.2+sco5.1+sco6.1+sco7.1+sco7.2+sco7.3+sco7.4+sco7.8+sco8.1+sco8.2+sco9.1+sco9.2+sco1.2+sco2.9+sco2.10+sco2.11+sco2.12+sco4.4+sco5.3+sco5.4+sco5.5+sco7.6+sco7.7+sco7.9+sco9.3)/40</f>
        <v>2.625</v>
      </c>
      <c r="F60" s="189" t="str">
        <f>IF(AND(E60&lt;=1.5,E60&gt;0),"ยังไม่ได้คุณภาพ",IF(AND(E60&gt;=1.51,E60&lt;=2),"พอใช้",IF(AND(E60&gt;=2.01,E60&lt;=2.5),"ดี",IF(AND(E60&gt;=2.51,E60&lt;=3),"ดีมาก","ยังไม่มีข้อมูล"))))</f>
        <v>ดีมาก</v>
      </c>
    </row>
    <row r="61" spans="1:6" ht="21">
      <c r="A61" s="9" t="s">
        <v>277</v>
      </c>
      <c r="B61" s="78" t="str">
        <f>IF(AND(B60&lt;=1.5,B60&gt;0),"ยังไม่ได้คุณภาพ",IF(AND(B60&gt;=1.51,B60&lt;=2),"พอใช้",IF(AND(B60&gt;=2.01,B60&lt;=2.5),"ดี",IF(AND(B60&gt;=2.51,B60&lt;=3),"ดีมาก","ยังไม่มีข้อมูล"))))</f>
        <v>พอใช้</v>
      </c>
      <c r="C61" s="78" t="str">
        <f>IF(AND(C60&lt;=1.5,C60&gt;0),"ยังไม่ได้คุณภาพ",IF(AND(C60&gt;=1.51,C60&lt;=2),"พอใช้",IF(AND(C60&gt;=2.01,C60&lt;=2.5),"ดี",IF(AND(C60&gt;=2.51,C60&lt;=3),"ดีมาก","ยังไม่มีข้อมูล"))))</f>
        <v>ดีมาก</v>
      </c>
      <c r="D61" s="78" t="str">
        <f>IF(AND(D60&lt;=1.5,D60&gt;0),"ยังไม่ได้คุณภาพ",IF(AND(D60&gt;=1.51,D60&lt;=2),"พอใช้",IF(AND(D60&gt;=2.01,D60&lt;=2.5),"ดี",IF(AND(D60&gt;=2.51,D60&lt;=3),"ดีมาก","ยังไม่มีข้อมูล"))))</f>
        <v>ดีมาก</v>
      </c>
      <c r="E61" s="20"/>
    </row>
  </sheetData>
  <phoneticPr fontId="5" type="noConversion"/>
  <pageMargins left="0.74803149606299213" right="0.15748031496062992" top="0.59055118110236227" bottom="0.19685039370078741" header="0.31496062992125984" footer="0.11811023622047245"/>
  <pageSetup paperSize="9" scale="78" firstPageNumber="97" orientation="portrait" useFirstPageNumber="1" horizontalDpi="4294967293" r:id="rId1"/>
  <headerFooter alignWithMargins="0">
    <oddFooter>&amp;L&amp;"Browallia New,Regular"&amp;14รายงานการประเมินตนเอง ปีการศึกษา 2552&amp;R&amp;"Browallia New,Regular"&amp;14 &amp;P</oddFooter>
  </headerFooter>
  <rowBreaks count="1" manualBreakCount="1">
    <brk id="47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0"/>
  <sheetViews>
    <sheetView view="pageBreakPreview" zoomScale="75" zoomScaleNormal="100" workbookViewId="0"/>
  </sheetViews>
  <sheetFormatPr defaultRowHeight="18"/>
  <cols>
    <col min="1" max="1" width="33.85546875" style="6" customWidth="1"/>
    <col min="2" max="2" width="17.7109375" style="6" customWidth="1"/>
    <col min="3" max="3" width="20.140625" style="6" customWidth="1"/>
    <col min="4" max="4" width="17.140625" style="6" customWidth="1"/>
    <col min="5" max="5" width="11.28515625" style="6" customWidth="1"/>
    <col min="6" max="6" width="16.28515625" style="6" customWidth="1"/>
    <col min="7" max="16384" width="9.140625" style="6"/>
  </cols>
  <sheetData>
    <row r="1" spans="1:5" s="5" customFormat="1" ht="23.25">
      <c r="A1" s="2" t="s">
        <v>735</v>
      </c>
    </row>
    <row r="2" spans="1:5" ht="5.25" customHeight="1"/>
    <row r="3" spans="1:5" ht="36" customHeight="1">
      <c r="A3" s="95" t="s">
        <v>60</v>
      </c>
      <c r="B3" s="95" t="s">
        <v>525</v>
      </c>
      <c r="C3" s="95" t="s">
        <v>526</v>
      </c>
      <c r="D3" s="95" t="s">
        <v>598</v>
      </c>
      <c r="E3" s="20"/>
    </row>
    <row r="4" spans="1:5" ht="23.25" customHeight="1">
      <c r="A4" s="15" t="s">
        <v>203</v>
      </c>
      <c r="B4" s="585"/>
      <c r="C4" s="585"/>
      <c r="D4" s="585"/>
      <c r="E4" s="20"/>
    </row>
    <row r="5" spans="1:5" s="20" customFormat="1" ht="21.75" customHeight="1">
      <c r="A5" s="16" t="s">
        <v>577</v>
      </c>
      <c r="B5" s="518" t="str">
        <f>obj2.2</f>
        <v>ระดับ 7</v>
      </c>
      <c r="C5" s="518" t="str">
        <f>res2.2</f>
        <v>ระดับ 7</v>
      </c>
      <c r="D5" s="518">
        <f>sco2.2</f>
        <v>3</v>
      </c>
    </row>
    <row r="6" spans="1:5" s="20" customFormat="1" ht="21.75" customHeight="1">
      <c r="A6" s="16" t="s">
        <v>578</v>
      </c>
      <c r="B6" s="518" t="str">
        <f>obj2.3</f>
        <v>ระดับ 5</v>
      </c>
      <c r="C6" s="518" t="str">
        <f>res2.3</f>
        <v>ระดับ 5</v>
      </c>
      <c r="D6" s="518">
        <f>sco2.3</f>
        <v>3</v>
      </c>
    </row>
    <row r="7" spans="1:5" s="20" customFormat="1" ht="20.25">
      <c r="A7" s="16" t="s">
        <v>579</v>
      </c>
      <c r="B7" s="518" t="str">
        <f>obj2.4</f>
        <v xml:space="preserve">ร้อยละ 0 </v>
      </c>
      <c r="C7" s="519" t="str">
        <f>res2.4</f>
        <v xml:space="preserve">ร้อยละ 0 </v>
      </c>
      <c r="D7" s="518">
        <f>sco2.4</f>
        <v>0</v>
      </c>
    </row>
    <row r="8" spans="1:5" s="20" customFormat="1" ht="20.25" customHeight="1">
      <c r="A8" s="16" t="s">
        <v>584</v>
      </c>
      <c r="B8" s="518" t="str">
        <f>obj2.9</f>
        <v>ร้อยละ 80</v>
      </c>
      <c r="C8" s="586">
        <f>res2.9</f>
        <v>85.31</v>
      </c>
      <c r="D8" s="518">
        <f>sco2.9</f>
        <v>3</v>
      </c>
    </row>
    <row r="9" spans="1:5" s="20" customFormat="1" ht="20.25" customHeight="1">
      <c r="A9" s="16" t="s">
        <v>585</v>
      </c>
      <c r="B9" s="518" t="str">
        <f>obj2.10</f>
        <v>ร้อยละ 90</v>
      </c>
      <c r="C9" s="586">
        <f>res2.10</f>
        <v>88.12</v>
      </c>
      <c r="D9" s="518">
        <f>sco2.10</f>
        <v>2</v>
      </c>
    </row>
    <row r="10" spans="1:5" s="20" customFormat="1" ht="20.25" customHeight="1">
      <c r="A10" s="16" t="s">
        <v>586</v>
      </c>
      <c r="B10" s="590">
        <f>obj2.11</f>
        <v>4</v>
      </c>
      <c r="C10" s="518">
        <f>res2.11</f>
        <v>4.18</v>
      </c>
      <c r="D10" s="518">
        <f>sco2.11</f>
        <v>3</v>
      </c>
    </row>
    <row r="11" spans="1:5" s="20" customFormat="1" ht="20.25" customHeight="1">
      <c r="A11" s="16" t="s">
        <v>587</v>
      </c>
      <c r="B11" s="518" t="str">
        <f>obj2.12</f>
        <v>ร้อยละ 0.350</v>
      </c>
      <c r="C11" s="591">
        <f>res2.12</f>
        <v>0.54900000000000004</v>
      </c>
      <c r="D11" s="518">
        <f>sco2.12</f>
        <v>3</v>
      </c>
    </row>
    <row r="12" spans="1:5" s="20" customFormat="1" ht="20.25" customHeight="1">
      <c r="A12" s="16" t="s">
        <v>590</v>
      </c>
      <c r="B12" s="518" t="str">
        <f>obj3.1</f>
        <v>ระดับ 8</v>
      </c>
      <c r="C12" s="518" t="str">
        <f>res3.1</f>
        <v>ระดับ 8</v>
      </c>
      <c r="D12" s="518">
        <f>sco3.1</f>
        <v>3</v>
      </c>
    </row>
    <row r="13" spans="1:5" s="20" customFormat="1" ht="20.25" customHeight="1">
      <c r="A13" s="16" t="s">
        <v>591</v>
      </c>
      <c r="B13" s="518" t="str">
        <f>obj3.2</f>
        <v>ระดับ 4</v>
      </c>
      <c r="C13" s="518" t="str">
        <f>res3.2</f>
        <v>ระดับ 4</v>
      </c>
      <c r="D13" s="518">
        <f>sco3.2</f>
        <v>3</v>
      </c>
    </row>
    <row r="14" spans="1:5" s="20" customFormat="1" ht="20.25" customHeight="1">
      <c r="A14" s="16" t="s">
        <v>636</v>
      </c>
      <c r="B14" s="518" t="str">
        <f>obj5.1</f>
        <v>ระดับ 7</v>
      </c>
      <c r="C14" s="518" t="str">
        <f>res5.1</f>
        <v>ระดับ 7</v>
      </c>
      <c r="D14" s="518">
        <f>sco5.1</f>
        <v>3</v>
      </c>
    </row>
    <row r="15" spans="1:5" s="20" customFormat="1" ht="20.25" customHeight="1">
      <c r="A15" s="16" t="s">
        <v>637</v>
      </c>
      <c r="B15" s="518" t="str">
        <f>obj5.2</f>
        <v xml:space="preserve">ร้อยละ 15 </v>
      </c>
      <c r="C15" s="586">
        <f>res5.2</f>
        <v>35.94</v>
      </c>
      <c r="D15" s="518">
        <f>sco5.2</f>
        <v>3</v>
      </c>
    </row>
    <row r="16" spans="1:5" s="20" customFormat="1" ht="20.25" customHeight="1">
      <c r="A16" s="16" t="s">
        <v>638</v>
      </c>
      <c r="B16" s="518" t="str">
        <f>obj5.3</f>
        <v xml:space="preserve">ร้อยละ 30 </v>
      </c>
      <c r="C16" s="586">
        <f>res5.3</f>
        <v>34.17</v>
      </c>
      <c r="D16" s="518">
        <f>sco5.3</f>
        <v>2</v>
      </c>
    </row>
    <row r="17" spans="1:5" s="20" customFormat="1" ht="20.25" customHeight="1">
      <c r="A17" s="16" t="s">
        <v>639</v>
      </c>
      <c r="B17" s="518">
        <f>obj5.4</f>
        <v>4</v>
      </c>
      <c r="C17" s="590">
        <f>res5.4</f>
        <v>4.1900000000000004</v>
      </c>
      <c r="D17" s="518">
        <f>sco5.4</f>
        <v>3</v>
      </c>
    </row>
    <row r="18" spans="1:5" s="20" customFormat="1" ht="20.25" customHeight="1">
      <c r="A18" s="16" t="s">
        <v>640</v>
      </c>
      <c r="B18" s="518" t="str">
        <f>obj5.5</f>
        <v>6 แหล่ง</v>
      </c>
      <c r="C18" s="518" t="str">
        <f>res5.5</f>
        <v xml:space="preserve">6 แหล่ง </v>
      </c>
      <c r="D18" s="518">
        <f>sco5.5</f>
        <v>3</v>
      </c>
    </row>
    <row r="19" spans="1:5" s="20" customFormat="1" ht="21" customHeight="1">
      <c r="A19" s="16" t="s">
        <v>606</v>
      </c>
      <c r="B19" s="518" t="str">
        <f>obj7.6</f>
        <v>ระดับ 5</v>
      </c>
      <c r="C19" s="518" t="str">
        <f>res7.6</f>
        <v>ระดับ 5</v>
      </c>
      <c r="D19" s="518">
        <f>sco7.6</f>
        <v>3</v>
      </c>
    </row>
    <row r="20" spans="1:5" s="20" customFormat="1" ht="22.5" customHeight="1">
      <c r="A20" s="16" t="s">
        <v>181</v>
      </c>
      <c r="B20" s="518" t="str">
        <f>obj9.2</f>
        <v>ระดับ 7</v>
      </c>
      <c r="C20" s="518" t="str">
        <f>res9.2</f>
        <v>ระดับ 7</v>
      </c>
      <c r="D20" s="518">
        <f>sco9.2</f>
        <v>3</v>
      </c>
    </row>
    <row r="21" spans="1:5" ht="44.25" customHeight="1">
      <c r="A21" s="331" t="s">
        <v>293</v>
      </c>
      <c r="B21" s="587"/>
      <c r="C21" s="587"/>
      <c r="D21" s="588">
        <f>AVERAGE(D5:D20)</f>
        <v>2.6875</v>
      </c>
      <c r="E21" s="20"/>
    </row>
    <row r="22" spans="1:5" ht="21" customHeight="1">
      <c r="A22" s="15" t="s">
        <v>617</v>
      </c>
      <c r="B22" s="585"/>
      <c r="C22" s="585"/>
      <c r="D22" s="585"/>
      <c r="E22" s="20"/>
    </row>
    <row r="23" spans="1:5" s="20" customFormat="1" ht="18.95" customHeight="1">
      <c r="A23" s="16" t="s">
        <v>572</v>
      </c>
      <c r="B23" s="518" t="str">
        <f>obj1.1</f>
        <v>ระดับ 7</v>
      </c>
      <c r="C23" s="518" t="str">
        <f>res1.1</f>
        <v>ระดับ 7</v>
      </c>
      <c r="D23" s="518">
        <f>sco1.1</f>
        <v>3</v>
      </c>
    </row>
    <row r="24" spans="1:5" s="20" customFormat="1" ht="18.95" customHeight="1">
      <c r="A24" s="16" t="s">
        <v>573</v>
      </c>
      <c r="B24" s="518" t="str">
        <f>obj1.2</f>
        <v>ร้อยละ 80</v>
      </c>
      <c r="C24" s="586">
        <f>res1.2</f>
        <v>89.55</v>
      </c>
      <c r="D24" s="518">
        <f>sco1.2</f>
        <v>2</v>
      </c>
    </row>
    <row r="25" spans="1:5" s="20" customFormat="1" ht="18.95" customHeight="1">
      <c r="A25" s="16" t="s">
        <v>576</v>
      </c>
      <c r="B25" s="518" t="str">
        <f>obj2.1</f>
        <v>ระดับ 5</v>
      </c>
      <c r="C25" s="518" t="str">
        <f>res2.1</f>
        <v>ระดับ 5</v>
      </c>
      <c r="D25" s="518">
        <f>sco2.1</f>
        <v>2</v>
      </c>
    </row>
    <row r="26" spans="1:5" s="20" customFormat="1" ht="18.95" customHeight="1">
      <c r="A26" s="16" t="s">
        <v>313</v>
      </c>
      <c r="B26" s="518" t="str">
        <f>obj6.1</f>
        <v>ระดับ 6</v>
      </c>
      <c r="C26" s="518" t="str">
        <f>res6.1</f>
        <v>ระดับ 6</v>
      </c>
      <c r="D26" s="518">
        <f>sco6.1</f>
        <v>3</v>
      </c>
    </row>
    <row r="27" spans="1:5" s="20" customFormat="1" ht="18.95" customHeight="1">
      <c r="A27" s="16" t="s">
        <v>601</v>
      </c>
      <c r="B27" s="518" t="str">
        <f>obj7.1</f>
        <v>5 ข้อ</v>
      </c>
      <c r="C27" s="518" t="str">
        <f>res7.1</f>
        <v>4 ข้อ</v>
      </c>
      <c r="D27" s="518">
        <f>sco7.1</f>
        <v>2</v>
      </c>
    </row>
    <row r="28" spans="1:5" s="20" customFormat="1" ht="18.95" customHeight="1">
      <c r="A28" s="16" t="s">
        <v>602</v>
      </c>
      <c r="B28" s="518" t="str">
        <f>obj7.2</f>
        <v>ระดับ 4</v>
      </c>
      <c r="C28" s="518" t="str">
        <f>res7.2</f>
        <v>ระดับ 4</v>
      </c>
      <c r="D28" s="518">
        <f>sco7.2</f>
        <v>3</v>
      </c>
    </row>
    <row r="29" spans="1:5" s="20" customFormat="1" ht="18.95" customHeight="1">
      <c r="A29" s="16" t="s">
        <v>173</v>
      </c>
      <c r="B29" s="518" t="str">
        <f>obj7.8</f>
        <v>ระดับ 5</v>
      </c>
      <c r="C29" s="518" t="str">
        <f>res7.8</f>
        <v>ระดับ 5</v>
      </c>
      <c r="D29" s="518">
        <f>sco7.8</f>
        <v>3</v>
      </c>
    </row>
    <row r="30" spans="1:5" s="20" customFormat="1" ht="18.95" customHeight="1">
      <c r="A30" s="16" t="s">
        <v>174</v>
      </c>
      <c r="B30" s="518" t="str">
        <f>obj7.9</f>
        <v>ระดับ 8</v>
      </c>
      <c r="C30" s="518" t="str">
        <f>res7.9</f>
        <v>ระดับ 8</v>
      </c>
      <c r="D30" s="518">
        <f>sco7.9</f>
        <v>3</v>
      </c>
    </row>
    <row r="31" spans="1:5" s="20" customFormat="1" ht="18.95" customHeight="1">
      <c r="A31" s="16" t="s">
        <v>180</v>
      </c>
      <c r="B31" s="518" t="str">
        <f>obj9.1</f>
        <v>ระดับ 7</v>
      </c>
      <c r="C31" s="518" t="str">
        <f>res9.1</f>
        <v>ระดับ 7</v>
      </c>
      <c r="D31" s="518">
        <f>sco9.1</f>
        <v>3</v>
      </c>
    </row>
    <row r="32" spans="1:5" s="20" customFormat="1" ht="18.95" customHeight="1">
      <c r="A32" s="16" t="s">
        <v>182</v>
      </c>
      <c r="B32" s="518" t="str">
        <f>obj9.3</f>
        <v>ระดับ 5</v>
      </c>
      <c r="C32" s="518" t="str">
        <f>res9.3</f>
        <v>ระดับ 5</v>
      </c>
      <c r="D32" s="518">
        <f>sco9.3</f>
        <v>3</v>
      </c>
    </row>
    <row r="33" spans="1:4" s="20" customFormat="1" ht="23.25" customHeight="1">
      <c r="A33" s="331" t="s">
        <v>433</v>
      </c>
      <c r="B33" s="587"/>
      <c r="C33" s="587"/>
      <c r="D33" s="595">
        <f>AVERAGE(D23:D32)</f>
        <v>2.7</v>
      </c>
    </row>
    <row r="34" spans="1:4" s="20" customFormat="1" ht="24" customHeight="1">
      <c r="A34" s="10" t="s">
        <v>434</v>
      </c>
      <c r="B34" s="505"/>
      <c r="C34" s="505"/>
      <c r="D34" s="596"/>
    </row>
    <row r="35" spans="1:4" s="20" customFormat="1" ht="18.95" customHeight="1">
      <c r="A35" s="16" t="s">
        <v>596</v>
      </c>
      <c r="B35" s="518" t="str">
        <f>obj4.3</f>
        <v>30,000 บาท</v>
      </c>
      <c r="C35" s="518" t="str">
        <f>res4.3</f>
        <v xml:space="preserve">42,843.47 บาท </v>
      </c>
      <c r="D35" s="518">
        <f>sco4.3</f>
        <v>3</v>
      </c>
    </row>
    <row r="36" spans="1:4" s="20" customFormat="1" ht="18.95" customHeight="1">
      <c r="A36" s="16" t="s">
        <v>177</v>
      </c>
      <c r="B36" s="518" t="str">
        <f>obj8.1</f>
        <v>ระดับ 7</v>
      </c>
      <c r="C36" s="518" t="str">
        <f>res8.1</f>
        <v>ระดับ 7</v>
      </c>
      <c r="D36" s="518">
        <f>sco8.1</f>
        <v>3</v>
      </c>
    </row>
    <row r="37" spans="1:4" s="20" customFormat="1" ht="18.95" customHeight="1">
      <c r="A37" s="16" t="s">
        <v>178</v>
      </c>
      <c r="B37" s="518" t="str">
        <f>obj8.2</f>
        <v>ระดับ 5</v>
      </c>
      <c r="C37" s="518" t="str">
        <f>res8.2</f>
        <v>ระดับ 5</v>
      </c>
      <c r="D37" s="518">
        <f>sco8.2</f>
        <v>3</v>
      </c>
    </row>
    <row r="38" spans="1:4" s="20" customFormat="1" ht="23.25" customHeight="1">
      <c r="A38" s="331" t="s">
        <v>71</v>
      </c>
      <c r="B38" s="587"/>
      <c r="C38" s="587"/>
      <c r="D38" s="595">
        <f>AVERAGE(D35:D37)</f>
        <v>3</v>
      </c>
    </row>
    <row r="39" spans="1:4" s="20" customFormat="1" ht="20.25" customHeight="1">
      <c r="A39" s="10" t="s">
        <v>678</v>
      </c>
      <c r="B39" s="505"/>
      <c r="C39" s="505"/>
      <c r="D39" s="596"/>
    </row>
    <row r="40" spans="1:4" s="20" customFormat="1" ht="57.75" customHeight="1">
      <c r="A40" s="16" t="s">
        <v>388</v>
      </c>
      <c r="B40" s="518" t="str">
        <f>obj2.5</f>
        <v>เอก ร้อยละ 18
โท ร้อยละ 77  
ตรี ร้อยละ 5</v>
      </c>
      <c r="C40" s="518" t="str">
        <f>res2.5</f>
        <v xml:space="preserve">  เอก ร้อยละ 18.86           โท ร้อยละ 74.56            ตรี ร้อยละ 6.58</v>
      </c>
      <c r="D40" s="518">
        <f>sco2.5</f>
        <v>1</v>
      </c>
    </row>
    <row r="41" spans="1:4" s="20" customFormat="1" ht="60.75" customHeight="1">
      <c r="A41" s="16" t="s">
        <v>389</v>
      </c>
      <c r="B41" s="518" t="str">
        <f>obj2.6</f>
        <v>ร้อยละ ศ+รศ+ผศ = 18
ร้อยละ ศ+รศ = 5</v>
      </c>
      <c r="C41" s="518" t="str">
        <f>res2.6</f>
        <v>ร้อยละ ศ+รศ+ผศ = 17.44
ร้อยละ ศ+รศ = 4.98</v>
      </c>
      <c r="D41" s="518">
        <f>sco2.6</f>
        <v>1</v>
      </c>
    </row>
    <row r="42" spans="1:4" s="20" customFormat="1" ht="20.25" customHeight="1">
      <c r="A42" s="16" t="s">
        <v>582</v>
      </c>
      <c r="B42" s="518" t="str">
        <f>obj2.7</f>
        <v>ระดับ 5</v>
      </c>
      <c r="C42" s="518" t="str">
        <f>res2.7</f>
        <v>ระดับ 5</v>
      </c>
      <c r="D42" s="518">
        <f>sco2.7</f>
        <v>3</v>
      </c>
    </row>
    <row r="43" spans="1:4" s="20" customFormat="1" ht="20.25" customHeight="1">
      <c r="A43" s="16" t="s">
        <v>309</v>
      </c>
      <c r="B43" s="518" t="str">
        <f>obj2.8</f>
        <v>5 ข้อ</v>
      </c>
      <c r="C43" s="518" t="str">
        <f>res2.8</f>
        <v>5 ข้อ</v>
      </c>
      <c r="D43" s="518">
        <f>sco2.8</f>
        <v>3</v>
      </c>
    </row>
    <row r="44" spans="1:4" s="20" customFormat="1" ht="20.25" customHeight="1">
      <c r="A44" s="16" t="s">
        <v>594</v>
      </c>
      <c r="B44" s="518" t="str">
        <f>obj4.1</f>
        <v>6 ข้อ</v>
      </c>
      <c r="C44" s="518" t="str">
        <f>res4.1</f>
        <v>6 ข้อ</v>
      </c>
      <c r="D44" s="518">
        <f>sco4.1</f>
        <v>3</v>
      </c>
    </row>
    <row r="45" spans="1:4" s="20" customFormat="1" ht="20.25" customHeight="1">
      <c r="A45" s="16" t="s">
        <v>595</v>
      </c>
      <c r="B45" s="518" t="str">
        <f>obj4.2</f>
        <v>4 ข้อ</v>
      </c>
      <c r="C45" s="518" t="str">
        <f>res4.2</f>
        <v>4 ข้อ</v>
      </c>
      <c r="D45" s="518">
        <f>sco4.2</f>
        <v>3</v>
      </c>
    </row>
    <row r="46" spans="1:4" s="20" customFormat="1" ht="20.25" customHeight="1">
      <c r="A46" s="16" t="s">
        <v>597</v>
      </c>
      <c r="B46" s="518" t="str">
        <f>obj4.4</f>
        <v>ร้อยละ 20</v>
      </c>
      <c r="C46" s="586">
        <f>res4.4</f>
        <v>21.32</v>
      </c>
      <c r="D46" s="518">
        <f>sco4.4</f>
        <v>2</v>
      </c>
    </row>
    <row r="47" spans="1:4" s="20" customFormat="1" ht="20.25" customHeight="1">
      <c r="A47" s="16" t="s">
        <v>603</v>
      </c>
      <c r="B47" s="518" t="str">
        <f>obj7.3</f>
        <v>ระดับ 5</v>
      </c>
      <c r="C47" s="518" t="str">
        <f>res7.3</f>
        <v>ระดับ 5</v>
      </c>
      <c r="D47" s="518">
        <f>sco7.3</f>
        <v>3</v>
      </c>
    </row>
    <row r="48" spans="1:4" s="20" customFormat="1" ht="20.25" customHeight="1">
      <c r="A48" s="16" t="s">
        <v>604</v>
      </c>
      <c r="B48" s="518" t="str">
        <f>obj7.4</f>
        <v>ระดับ 6</v>
      </c>
      <c r="C48" s="518" t="str">
        <f>res7.4</f>
        <v>ระดับ 6</v>
      </c>
      <c r="D48" s="518">
        <f>sco7.4</f>
        <v>3</v>
      </c>
    </row>
    <row r="49" spans="1:6" s="20" customFormat="1" ht="20.25" customHeight="1">
      <c r="A49" s="16" t="s">
        <v>386</v>
      </c>
      <c r="B49" s="518" t="str">
        <f>obj7.5</f>
        <v>ระดับ 6</v>
      </c>
      <c r="C49" s="518" t="str">
        <f>res7.5</f>
        <v>ระดับ 6</v>
      </c>
      <c r="D49" s="518">
        <f>sco7.5</f>
        <v>3</v>
      </c>
    </row>
    <row r="50" spans="1:6" s="20" customFormat="1" ht="20.25" customHeight="1">
      <c r="A50" s="16" t="s">
        <v>607</v>
      </c>
      <c r="B50" s="518" t="str">
        <f>obj7.7</f>
        <v>ร้อยละ 0.50</v>
      </c>
      <c r="C50" s="586">
        <f>res7.7</f>
        <v>0.88</v>
      </c>
      <c r="D50" s="518">
        <f>sco7.7</f>
        <v>1</v>
      </c>
    </row>
    <row r="51" spans="1:6" ht="42" customHeight="1">
      <c r="A51" s="331" t="s">
        <v>680</v>
      </c>
      <c r="B51" s="330"/>
      <c r="C51" s="330"/>
      <c r="D51" s="76">
        <f>AVERAGE(D40:D50)</f>
        <v>2.3636363636363638</v>
      </c>
      <c r="E51" s="11"/>
    </row>
    <row r="52" spans="1:6" ht="40.5" customHeight="1">
      <c r="A52" s="14" t="s">
        <v>679</v>
      </c>
      <c r="B52" s="54"/>
      <c r="C52" s="54"/>
      <c r="D52" s="346">
        <f>(D5+D6+D7+D8+D9+D10+D11+D12+D13+D14+D15+D16+D17+D18+D19+D20+D23+D24+D25+D26+D27+D28+D29+D30+D31+D32+D35+D36+D37+D40+D41+D42+D43+D44+D45+D46+D47+D48+D49+D50)/40</f>
        <v>2.625</v>
      </c>
      <c r="E52" s="11"/>
    </row>
    <row r="53" spans="1:6" s="67" customFormat="1" ht="40.5" customHeight="1">
      <c r="A53" s="65"/>
      <c r="B53" s="63"/>
      <c r="C53" s="63"/>
      <c r="D53" s="64"/>
      <c r="E53" s="66"/>
    </row>
    <row r="54" spans="1:6" ht="43.5" customHeight="1">
      <c r="A54" s="95" t="s">
        <v>60</v>
      </c>
      <c r="B54" s="93" t="s">
        <v>332</v>
      </c>
      <c r="C54" s="93" t="s">
        <v>333</v>
      </c>
      <c r="D54" s="93" t="s">
        <v>334</v>
      </c>
      <c r="E54" s="96" t="s">
        <v>335</v>
      </c>
      <c r="F54" s="96" t="s">
        <v>277</v>
      </c>
    </row>
    <row r="55" spans="1:6" ht="24" customHeight="1">
      <c r="A55" s="55" t="s">
        <v>203</v>
      </c>
      <c r="B55" s="59">
        <f>(sco2.4+sco5.2)/2</f>
        <v>1.5</v>
      </c>
      <c r="C55" s="72">
        <f>(sco2.2+sco2.3+sco3.1+sco3.2+sco5.1+sco9.2)/6</f>
        <v>3</v>
      </c>
      <c r="D55" s="59">
        <f>(sco2.9+sco2.10+sco2.11+sco2.12+sco5.3+sco5.4+sco5.5+sco7.6)/8</f>
        <v>2.75</v>
      </c>
      <c r="E55" s="98">
        <f>(sco2.4+sco5.2+sco2.2+sco2.3+sco3.1+sco3.2+sco5.1+sco9.2+sco2.9+sco2.10+sco2.11+sco2.12+sco5.3+sco5.4+sco5.5+sco7.6)/16</f>
        <v>2.6875</v>
      </c>
      <c r="F55" s="78" t="str">
        <f>IF(AND(E55&lt;=1.5,E55&gt;0),"ยังไม่ได้คุณภาพ",IF(AND(E55&gt;=1.51,E55&lt;=2),"พอใช้",IF(AND(E55&gt;=2.01,E55&lt;=2.5),"ดี",IF(AND(E55&gt;=2.51,E55&lt;=3),"ดีมาก","ยังไม่มีข้อมูล"))))</f>
        <v>ดีมาก</v>
      </c>
    </row>
    <row r="56" spans="1:6" ht="21">
      <c r="A56" s="58" t="s">
        <v>617</v>
      </c>
      <c r="B56" s="82" t="s">
        <v>276</v>
      </c>
      <c r="C56" s="72">
        <f>(sco1.1+sco2.1+sco6.1+sco7.1+sco7.2+sco7.8+sco9.1)/7</f>
        <v>2.7142857142857144</v>
      </c>
      <c r="D56" s="82">
        <f>(sco1.2+sco7.9+sco9.3)/3</f>
        <v>2.6666666666666665</v>
      </c>
      <c r="E56" s="76">
        <f>(sco1.1+sco2.1+sco6.1+sco7.1+sco7.2+sco7.8+sco9.1+sco1.2+sco7.9+sco9.3)/10</f>
        <v>2.7</v>
      </c>
      <c r="F56" s="78" t="str">
        <f>IF(AND(E56&lt;=1.5,E56&gt;0),"ยังไม่ได้คุณภาพ",IF(AND(E56&gt;=1.51,E56&lt;=2),"พอใช้",IF(AND(E56&gt;=2.01,E56&lt;=2.5),"ดี",IF(AND(E56&gt;=2.51,E56&lt;=3),"ดีมาก","ยังไม่มีข้อมูล"))))</f>
        <v>ดีมาก</v>
      </c>
    </row>
    <row r="57" spans="1:6" ht="21">
      <c r="A57" s="58" t="s">
        <v>434</v>
      </c>
      <c r="B57" s="59">
        <f>sco4.3</f>
        <v>3</v>
      </c>
      <c r="C57" s="59">
        <f>(sco8.1+sco8.2)/2</f>
        <v>3</v>
      </c>
      <c r="D57" s="82" t="s">
        <v>276</v>
      </c>
      <c r="E57" s="109">
        <f>(sco4.3+sco8.1+sco8.2)/3</f>
        <v>3</v>
      </c>
      <c r="F57" s="78" t="str">
        <f>IF(AND(E57&lt;=1.5,E57&gt;0),"ยังไม่ได้คุณภาพ",IF(AND(E57&gt;=1.51,E57&lt;=2),"พอใช้",IF(AND(E57&gt;=2.01,E57&lt;=2.5),"ดี",IF(AND(E57&gt;=2.51,E57&lt;=3),"ดีมาก","ยังไม่มีข้อมูล"))))</f>
        <v>ดีมาก</v>
      </c>
    </row>
    <row r="58" spans="1:6" ht="21">
      <c r="A58" s="57" t="s">
        <v>678</v>
      </c>
      <c r="B58" s="72">
        <f>(sco2.5+sco2.6+sco7.5)/3</f>
        <v>1.6666666666666667</v>
      </c>
      <c r="C58" s="72">
        <f>(sco2.7+sco2.8+sco4.1+sco4.2+sco7.3+sco7.4)/6</f>
        <v>3</v>
      </c>
      <c r="D58" s="74">
        <f>(sco4.4+sco7.7)/2</f>
        <v>1.5</v>
      </c>
      <c r="E58" s="76">
        <f>(sco2.5+sco2.6+sco7.5+sco2.7+sco2.8+sco4.1+sco4.2+sco7.3+sco7.4+sco4.4+sco7.7)/11</f>
        <v>2.3636363636363638</v>
      </c>
      <c r="F58" s="81" t="str">
        <f>IF(AND(E58&lt;=1.5,E58&gt;0),"ยังไม่ได้คุณภาพ",IF(AND(E58&gt;=1.51,E58&lt;=2),"พอใช้",IF(AND(E58&gt;=2.01,E58&lt;=2.5),"ดี",IF(AND(E58&gt;=2.51,E58&lt;=3),"ดีมาก","ยังไม่มีข้อมูล"))))</f>
        <v>ดี</v>
      </c>
    </row>
    <row r="59" spans="1:6" ht="21">
      <c r="A59" s="9" t="s">
        <v>335</v>
      </c>
      <c r="B59" s="61">
        <f>(sco2.4+sco5.2+sco4.3+sco2.5+sco2.6+sco7.5)/6</f>
        <v>1.8333333333333333</v>
      </c>
      <c r="C59" s="97">
        <f>(sco1.1+sco2.1+sco2.2+sco2.3+sco2.7+sco2.8+sco3.1+sco3.2+sco4.1+sco4.2+sco5.1+sco6.1+sco7.1+sco7.2+sco7.3+sco7.4+sco7.8+sco8.1+sco8.2+sco9.1+sco9.2)/21</f>
        <v>2.9047619047619047</v>
      </c>
      <c r="D59" s="97">
        <f>(sco1.2+sco2.9+sco2.10+sco2.11+sco2.12+sco4.4+sco5.3+sco5.4+sco5.5+sco7.6+sco7.7+sco7.9+sco9.3)/13</f>
        <v>2.5384615384615383</v>
      </c>
      <c r="E59" s="329">
        <f>(sco2.4+sco2.5+sco2.6+sco4.3+sco5.2+sco7.5+sco1.1+sco2.1+sco2.2+sco2.3+sco2.7+sco2.8+sco3.1+sco3.2+sco4.1+sco4.2+sco5.1+sco6.1+sco7.1+sco7.2+sco7.3+sco7.4+sco7.8+sco8.1+sco8.2+sco9.1+sco9.2+sco1.2+sco2.9+sco2.10+sco2.11+sco2.12+sco4.4+sco5.3+sco5.4+sco5.5+sco7.6+sco7.7+sco7.9+sco9.3)/40</f>
        <v>2.625</v>
      </c>
      <c r="F59" s="189" t="str">
        <f>IF(AND(E59&lt;=1.5,E59&gt;0),"ยังไม่ได้คุณภาพ",IF(AND(E59&gt;=1.51,E59&lt;=2),"พอใช้",IF(AND(E59&gt;=2.01,E59&lt;=2.5),"ดี",IF(AND(E59&gt;=2.51,E59&lt;=3),"ดีมาก","ยังไม่มีข้อมูล"))))</f>
        <v>ดีมาก</v>
      </c>
    </row>
    <row r="60" spans="1:6" ht="21">
      <c r="A60" s="9" t="s">
        <v>277</v>
      </c>
      <c r="B60" s="78" t="str">
        <f>IF(AND(B59&lt;=1.5,B59&gt;0),"ยังไม่ได้คุณภาพ",IF(AND(B59&gt;=1.51,B59&lt;=2),"พอใช้",IF(AND(B59&gt;=2.01,B59&lt;=2.5),"ดี",IF(AND(B59&gt;=2.51,B59&lt;=3),"ดีมาก","ยังไม่มีข้อมูล"))))</f>
        <v>พอใช้</v>
      </c>
      <c r="C60" s="78" t="str">
        <f>IF(AND(C59&lt;=1.5,C59&gt;0),"ยังไม่ได้คุณภาพ",IF(AND(C59&gt;=1.51,C59&lt;=2),"พอใช้",IF(AND(C59&gt;=2.01,C59&lt;=2.5),"ดี",IF(AND(C59&gt;=2.51,C59&lt;=3),"ดีมาก","ยังไม่มีข้อมูล"))))</f>
        <v>ดีมาก</v>
      </c>
      <c r="D60" s="78" t="str">
        <f>IF(AND(D59&lt;=1.5,D59&gt;0),"ยังไม่ได้คุณภาพ",IF(AND(D59&gt;=1.51,D59&lt;=2),"พอใช้",IF(AND(D59&gt;=2.01,D59&lt;=2.5),"ดี",IF(AND(D59&gt;=2.51,D59&lt;=3),"ดีมาก","ยังไม่มีข้อมูล"))))</f>
        <v>ดีมาก</v>
      </c>
      <c r="E60" s="20"/>
    </row>
  </sheetData>
  <phoneticPr fontId="5" type="noConversion"/>
  <pageMargins left="0.74803149606299213" right="0.15748031496062992" top="0.59055118110236227" bottom="0.31496062992125984" header="0.31496062992125984" footer="0.11811023622047245"/>
  <pageSetup paperSize="9" scale="80" firstPageNumber="99" orientation="portrait" useFirstPageNumber="1" horizontalDpi="4294967293" r:id="rId1"/>
  <headerFooter alignWithMargins="0">
    <oddFooter>&amp;L&amp;"Browallia New,Regular"&amp;14รายงานการประเมินตนเอง ปีการศึกษา 2552&amp;R&amp;"Browallia New,Regular"&amp;14 &amp;P</oddFooter>
  </headerFooter>
  <rowBreaks count="1" manualBreakCount="1">
    <brk id="3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28"/>
  <sheetViews>
    <sheetView view="pageBreakPreview" zoomScale="80" zoomScaleNormal="100" zoomScaleSheetLayoutView="80" workbookViewId="0">
      <selection activeCell="B1" sqref="B1:F1"/>
    </sheetView>
  </sheetViews>
  <sheetFormatPr defaultRowHeight="20.25"/>
  <cols>
    <col min="1" max="1" width="3.140625" style="945" customWidth="1"/>
    <col min="2" max="2" width="5" style="31" customWidth="1"/>
    <col min="3" max="3" width="31.42578125" style="4" customWidth="1"/>
    <col min="4" max="4" width="17.7109375" style="4" customWidth="1"/>
    <col min="5" max="5" width="20.7109375" style="4" customWidth="1"/>
    <col min="6" max="6" width="24.5703125" style="4" customWidth="1"/>
    <col min="7" max="16384" width="9.140625" style="4"/>
  </cols>
  <sheetData>
    <row r="1" spans="1:6" s="3" customFormat="1" ht="28.5">
      <c r="A1" s="940"/>
      <c r="B1" s="1053" t="s">
        <v>1038</v>
      </c>
      <c r="C1" s="1053"/>
      <c r="D1" s="1053"/>
      <c r="E1" s="1053"/>
      <c r="F1" s="1053"/>
    </row>
    <row r="2" spans="1:6" ht="10.5" customHeight="1">
      <c r="A2" s="941"/>
      <c r="B2" s="68"/>
    </row>
    <row r="3" spans="1:6" s="1" customFormat="1" ht="23.25">
      <c r="A3" s="942"/>
      <c r="B3" s="1004" t="s">
        <v>1036</v>
      </c>
      <c r="C3" s="1004"/>
      <c r="D3" s="1004"/>
      <c r="E3" s="1004"/>
      <c r="F3" s="1004"/>
    </row>
    <row r="4" spans="1:6" s="1" customFormat="1" ht="23.25">
      <c r="A4" s="942"/>
      <c r="B4" s="617"/>
      <c r="C4" s="618" t="s">
        <v>336</v>
      </c>
      <c r="D4" s="619" t="s">
        <v>525</v>
      </c>
      <c r="E4" s="619" t="s">
        <v>526</v>
      </c>
      <c r="F4" s="619" t="s">
        <v>531</v>
      </c>
    </row>
    <row r="5" spans="1:6" s="1" customFormat="1" ht="68.25" customHeight="1">
      <c r="A5" s="942"/>
      <c r="B5" s="1051" t="s">
        <v>936</v>
      </c>
      <c r="C5" s="1052"/>
      <c r="D5" s="620" t="s">
        <v>33</v>
      </c>
      <c r="E5" s="769" t="s">
        <v>33</v>
      </c>
      <c r="F5" s="769">
        <v>3</v>
      </c>
    </row>
    <row r="6" spans="1:6" s="1" customFormat="1" ht="9" customHeight="1">
      <c r="A6" s="942"/>
      <c r="B6" s="622"/>
    </row>
    <row r="7" spans="1:6" s="1" customFormat="1" ht="23.25">
      <c r="A7" s="942"/>
      <c r="B7" s="623"/>
      <c r="C7" s="995" t="s">
        <v>744</v>
      </c>
      <c r="D7" s="995"/>
      <c r="E7" s="996"/>
      <c r="F7" s="624" t="s">
        <v>528</v>
      </c>
    </row>
    <row r="8" spans="1:6" s="628" customFormat="1" ht="46.5" customHeight="1">
      <c r="A8" s="943"/>
      <c r="B8" s="798" t="s">
        <v>745</v>
      </c>
      <c r="C8" s="997" t="s">
        <v>937</v>
      </c>
      <c r="D8" s="997"/>
      <c r="E8" s="998"/>
      <c r="F8" s="627"/>
    </row>
    <row r="9" spans="1:6" s="628" customFormat="1" ht="111.75" customHeight="1">
      <c r="A9" s="943"/>
      <c r="B9" s="651"/>
      <c r="C9" s="1034" t="s">
        <v>1126</v>
      </c>
      <c r="D9" s="1034"/>
      <c r="E9" s="1035"/>
      <c r="F9" s="986" t="s">
        <v>1124</v>
      </c>
    </row>
    <row r="10" spans="1:6" s="609" customFormat="1" ht="50.25" customHeight="1">
      <c r="A10" s="944"/>
      <c r="B10" s="798" t="s">
        <v>745</v>
      </c>
      <c r="C10" s="1003" t="s">
        <v>1012</v>
      </c>
      <c r="D10" s="1054"/>
      <c r="E10" s="1054"/>
      <c r="F10" s="802"/>
    </row>
    <row r="11" spans="1:6" s="609" customFormat="1" ht="387" customHeight="1">
      <c r="A11" s="944"/>
      <c r="B11" s="664"/>
      <c r="C11" s="1000" t="s">
        <v>1128</v>
      </c>
      <c r="D11" s="1090"/>
      <c r="E11" s="1073"/>
      <c r="F11" s="986" t="s">
        <v>1125</v>
      </c>
    </row>
    <row r="12" spans="1:6" s="609" customFormat="1" ht="66.75" customHeight="1">
      <c r="A12" s="944"/>
      <c r="B12" s="632"/>
      <c r="C12" s="1006" t="s">
        <v>1127</v>
      </c>
      <c r="D12" s="1006"/>
      <c r="E12" s="1007"/>
      <c r="F12" s="987"/>
    </row>
    <row r="13" spans="1:6" s="1" customFormat="1" ht="23.25">
      <c r="A13" s="942"/>
      <c r="B13" s="623"/>
      <c r="C13" s="995" t="s">
        <v>744</v>
      </c>
      <c r="D13" s="995"/>
      <c r="E13" s="996"/>
      <c r="F13" s="624" t="s">
        <v>528</v>
      </c>
    </row>
    <row r="14" spans="1:6" s="609" customFormat="1" ht="47.25" customHeight="1">
      <c r="A14" s="944"/>
      <c r="B14" s="798" t="s">
        <v>745</v>
      </c>
      <c r="C14" s="1003" t="s">
        <v>938</v>
      </c>
      <c r="D14" s="1054"/>
      <c r="E14" s="1054"/>
      <c r="F14" s="801"/>
    </row>
    <row r="15" spans="1:6" s="609" customFormat="1" ht="87.75" customHeight="1">
      <c r="A15" s="944"/>
      <c r="B15" s="664"/>
      <c r="C15" s="1001" t="s">
        <v>1147</v>
      </c>
      <c r="D15" s="1060"/>
      <c r="E15" s="1060"/>
      <c r="F15" s="661" t="s">
        <v>1148</v>
      </c>
    </row>
    <row r="16" spans="1:6" s="609" customFormat="1" ht="51.75" customHeight="1">
      <c r="A16" s="944"/>
      <c r="B16" s="798" t="s">
        <v>745</v>
      </c>
      <c r="C16" s="1003" t="s">
        <v>939</v>
      </c>
      <c r="D16" s="1054"/>
      <c r="E16" s="1054"/>
      <c r="F16" s="802"/>
    </row>
    <row r="17" spans="1:6" s="609" customFormat="1" ht="92.25" customHeight="1">
      <c r="A17" s="944"/>
      <c r="B17" s="664"/>
      <c r="C17" s="1001" t="s">
        <v>1129</v>
      </c>
      <c r="D17" s="1060"/>
      <c r="E17" s="1060"/>
      <c r="F17" s="986" t="s">
        <v>1130</v>
      </c>
    </row>
    <row r="18" spans="1:6" s="609" customFormat="1" ht="46.5" customHeight="1">
      <c r="A18" s="944"/>
      <c r="B18" s="798" t="s">
        <v>745</v>
      </c>
      <c r="C18" s="1003" t="s">
        <v>940</v>
      </c>
      <c r="D18" s="1054"/>
      <c r="E18" s="1054"/>
      <c r="F18" s="802"/>
    </row>
    <row r="19" spans="1:6" s="609" customFormat="1" ht="74.25" customHeight="1">
      <c r="A19" s="944"/>
      <c r="B19" s="632"/>
      <c r="C19" s="1007" t="s">
        <v>1131</v>
      </c>
      <c r="D19" s="1070"/>
      <c r="E19" s="1070"/>
      <c r="F19" s="987" t="s">
        <v>1132</v>
      </c>
    </row>
    <row r="20" spans="1:6" ht="18" customHeight="1">
      <c r="B20" s="700"/>
      <c r="C20" s="710"/>
      <c r="D20" s="790"/>
      <c r="E20" s="790"/>
      <c r="F20" s="800"/>
    </row>
    <row r="22" spans="1:6" ht="28.5" customHeight="1">
      <c r="B22" s="1004" t="s">
        <v>1037</v>
      </c>
      <c r="C22" s="1004"/>
      <c r="D22" s="1004"/>
      <c r="E22" s="1004"/>
      <c r="F22" s="1004"/>
    </row>
    <row r="23" spans="1:6" ht="23.25">
      <c r="B23" s="617"/>
      <c r="C23" s="618" t="s">
        <v>336</v>
      </c>
      <c r="D23" s="619" t="s">
        <v>525</v>
      </c>
      <c r="E23" s="619" t="s">
        <v>526</v>
      </c>
      <c r="F23" s="619" t="s">
        <v>531</v>
      </c>
    </row>
    <row r="24" spans="1:6" ht="127.5" customHeight="1">
      <c r="B24" s="1088" t="s">
        <v>941</v>
      </c>
      <c r="C24" s="1089"/>
      <c r="D24" s="620" t="s">
        <v>1024</v>
      </c>
      <c r="E24" s="620" t="s">
        <v>1024</v>
      </c>
      <c r="F24" s="769">
        <v>3</v>
      </c>
    </row>
    <row r="25" spans="1:6" ht="24" customHeight="1">
      <c r="B25" s="805"/>
      <c r="C25" s="637"/>
      <c r="D25" s="806"/>
      <c r="E25" s="807"/>
      <c r="F25" s="808"/>
    </row>
    <row r="26" spans="1:6" ht="23.25">
      <c r="B26" s="647"/>
      <c r="C26" s="799" t="s">
        <v>106</v>
      </c>
      <c r="D26" s="1027" t="s">
        <v>528</v>
      </c>
      <c r="E26" s="1028"/>
      <c r="F26" s="1029"/>
    </row>
    <row r="27" spans="1:6" ht="68.25" customHeight="1">
      <c r="B27" s="651"/>
      <c r="C27" s="653" t="s">
        <v>1025</v>
      </c>
      <c r="D27" s="1061" t="s">
        <v>1026</v>
      </c>
      <c r="E27" s="1062"/>
      <c r="F27" s="1063"/>
    </row>
    <row r="28" spans="1:6" ht="22.5">
      <c r="B28" s="629"/>
      <c r="C28" s="656"/>
      <c r="D28" s="1067"/>
      <c r="E28" s="1068"/>
      <c r="F28" s="1069"/>
    </row>
  </sheetData>
  <mergeCells count="20">
    <mergeCell ref="C14:E14"/>
    <mergeCell ref="C15:E15"/>
    <mergeCell ref="C13:E13"/>
    <mergeCell ref="B1:F1"/>
    <mergeCell ref="B3:F3"/>
    <mergeCell ref="B5:C5"/>
    <mergeCell ref="C7:E7"/>
    <mergeCell ref="C8:E8"/>
    <mergeCell ref="C9:E9"/>
    <mergeCell ref="C10:E10"/>
    <mergeCell ref="C11:E11"/>
    <mergeCell ref="C12:E12"/>
    <mergeCell ref="D26:F26"/>
    <mergeCell ref="D27:F28"/>
    <mergeCell ref="B22:F22"/>
    <mergeCell ref="B24:C24"/>
    <mergeCell ref="C16:E16"/>
    <mergeCell ref="C17:E17"/>
    <mergeCell ref="C18:E18"/>
    <mergeCell ref="C19:E19"/>
  </mergeCells>
  <pageMargins left="0.74803149606299213" right="0.31496062992125984" top="0.55118110236220474" bottom="0.35433070866141736" header="0.31496062992125984" footer="0.31496062992125984"/>
  <pageSetup paperSize="9" scale="90" firstPageNumber="101" orientation="portrait" useFirstPageNumber="1" horizontalDpi="4294967293" r:id="rId1"/>
  <headerFooter>
    <oddFooter>&amp;L&amp;"Browallia New,Regular"&amp;14รายงานการประเมินตนเอง ปีการศึกษา 2552&amp;R&amp;"Browallia New,Regular"&amp;14&amp;P</oddFooter>
  </headerFooter>
  <rowBreaks count="2" manualBreakCount="2">
    <brk id="12" max="16383" man="1"/>
    <brk id="2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01"/>
  <sheetViews>
    <sheetView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8"/>
  <cols>
    <col min="1" max="1" width="10.42578125" customWidth="1"/>
    <col min="2" max="2" width="25.5703125" customWidth="1"/>
    <col min="3" max="3" width="7.5703125" style="786" customWidth="1"/>
    <col min="4" max="4" width="7.7109375" style="786" customWidth="1"/>
    <col min="5" max="5" width="7.85546875" style="786" customWidth="1"/>
    <col min="6" max="6" width="8.140625" style="786" customWidth="1"/>
    <col min="7" max="7" width="7.85546875" style="786" customWidth="1"/>
    <col min="8" max="8" width="7.5703125" style="787" customWidth="1"/>
    <col min="9" max="9" width="7.28515625" style="786" customWidth="1"/>
    <col min="10" max="11" width="7.42578125" style="786" customWidth="1"/>
    <col min="12" max="12" width="7.5703125" style="786" customWidth="1"/>
    <col min="13" max="13" width="7.7109375" style="786" customWidth="1"/>
    <col min="14" max="14" width="7.5703125" style="786" customWidth="1"/>
    <col min="15" max="15" width="9.85546875" style="6" customWidth="1"/>
    <col min="16" max="16" width="0" hidden="1" customWidth="1"/>
    <col min="17" max="17" width="5.140625" style="363" customWidth="1"/>
  </cols>
  <sheetData>
    <row r="1" spans="1:17" s="504" customFormat="1" ht="26.25">
      <c r="A1" s="1098" t="s">
        <v>1039</v>
      </c>
      <c r="B1" s="1098"/>
      <c r="C1" s="1098"/>
      <c r="D1" s="1098"/>
      <c r="E1" s="1098"/>
      <c r="F1" s="1098"/>
      <c r="G1" s="1098"/>
      <c r="H1" s="1098"/>
      <c r="I1" s="1098"/>
      <c r="J1" s="1098"/>
      <c r="K1" s="1098"/>
      <c r="L1" s="1098"/>
      <c r="M1" s="1098"/>
      <c r="N1" s="1098"/>
      <c r="O1" s="1098"/>
      <c r="P1" s="342"/>
      <c r="Q1" s="342"/>
    </row>
    <row r="2" spans="1:17" ht="20.25">
      <c r="A2" s="106"/>
      <c r="B2" s="107"/>
      <c r="C2" s="783"/>
      <c r="D2" s="783"/>
      <c r="E2" s="783"/>
      <c r="F2" s="783"/>
      <c r="G2" s="783"/>
      <c r="H2" s="784"/>
      <c r="I2" s="783"/>
      <c r="J2" s="783"/>
      <c r="K2" s="783"/>
      <c r="L2" s="783"/>
      <c r="M2" s="783"/>
      <c r="N2" s="783"/>
      <c r="O2" s="366"/>
      <c r="P2" s="105"/>
      <c r="Q2" s="360"/>
    </row>
    <row r="3" spans="1:17" ht="18.75" customHeight="1">
      <c r="A3" s="353" t="s">
        <v>136</v>
      </c>
      <c r="B3" s="353" t="s">
        <v>137</v>
      </c>
      <c r="C3" s="1099" t="s">
        <v>777</v>
      </c>
      <c r="D3" s="1100"/>
      <c r="E3" s="1100"/>
      <c r="F3" s="1100"/>
      <c r="G3" s="1100"/>
      <c r="H3" s="1100"/>
      <c r="I3" s="1100"/>
      <c r="J3" s="1100"/>
      <c r="K3" s="1100"/>
      <c r="L3" s="1100"/>
      <c r="M3" s="1100"/>
      <c r="N3" s="1101"/>
      <c r="O3" s="1102" t="s">
        <v>778</v>
      </c>
      <c r="P3" s="355" t="s">
        <v>544</v>
      </c>
      <c r="Q3" s="361"/>
    </row>
    <row r="4" spans="1:17" ht="33.75" customHeight="1">
      <c r="A4" s="354"/>
      <c r="B4" s="354"/>
      <c r="C4" s="78" t="s">
        <v>662</v>
      </c>
      <c r="D4" s="78" t="s">
        <v>663</v>
      </c>
      <c r="E4" s="78" t="s">
        <v>664</v>
      </c>
      <c r="F4" s="78" t="s">
        <v>665</v>
      </c>
      <c r="G4" s="78" t="s">
        <v>666</v>
      </c>
      <c r="H4" s="810" t="s">
        <v>667</v>
      </c>
      <c r="I4" s="78" t="s">
        <v>668</v>
      </c>
      <c r="J4" s="811" t="s">
        <v>669</v>
      </c>
      <c r="K4" s="78" t="s">
        <v>670</v>
      </c>
      <c r="L4" s="811" t="s">
        <v>87</v>
      </c>
      <c r="M4" s="78" t="s">
        <v>671</v>
      </c>
      <c r="N4" s="812" t="s">
        <v>88</v>
      </c>
      <c r="O4" s="1103"/>
      <c r="P4" s="354"/>
      <c r="Q4" s="360"/>
    </row>
    <row r="5" spans="1:17" ht="94.5" customHeight="1">
      <c r="A5" s="772" t="s">
        <v>294</v>
      </c>
      <c r="B5" s="15" t="s">
        <v>776</v>
      </c>
      <c r="C5" s="122" t="str">
        <f t="shared" ref="C5:M5" si="0">IF(AND((C6=C7),(C6&gt;0)),"เปิดสอนครบตามแผนที่กำหนด",IF(AND((C6=C7),(C6=0)),"โปรดกรอกข้อมูลด้านล่าง","ไม่เป็นไปตามแผนที่กำหนด"))</f>
        <v>เปิดสอนครบตามแผนที่กำหนด</v>
      </c>
      <c r="D5" s="122" t="str">
        <f t="shared" si="0"/>
        <v>เปิดสอนครบตามแผนที่กำหนด</v>
      </c>
      <c r="E5" s="122" t="str">
        <f t="shared" si="0"/>
        <v>เปิดสอนครบตามแผนที่กำหนด</v>
      </c>
      <c r="F5" s="122" t="str">
        <f t="shared" si="0"/>
        <v>เปิดสอนครบตามแผนที่กำหนด</v>
      </c>
      <c r="G5" s="122" t="str">
        <f t="shared" si="0"/>
        <v>เปิดสอนครบตามแผนที่กำหนด</v>
      </c>
      <c r="H5" s="813" t="str">
        <f t="shared" si="0"/>
        <v>เปิดสอนครบตามแผนที่กำหนด</v>
      </c>
      <c r="I5" s="122" t="s">
        <v>89</v>
      </c>
      <c r="J5" s="122" t="s">
        <v>89</v>
      </c>
      <c r="K5" s="122" t="str">
        <f t="shared" si="0"/>
        <v>เปิดสอนครบตามแผนที่กำหนด</v>
      </c>
      <c r="L5" s="122" t="s">
        <v>89</v>
      </c>
      <c r="M5" s="122" t="str">
        <f t="shared" si="0"/>
        <v>ไม่เป็นไปตามแผนที่กำหนด</v>
      </c>
      <c r="N5" s="122" t="str">
        <f>IF(AND((N6=N7),(N6&gt;0)),"เปิดสอนครบตามแผนที่กำหนด",IF(AND((N6=N7),(N6=0)),"โปรดกรอกข้อมูลด้านล่าง","ไม่เป็นไปตามแผนที่กำหนด"))</f>
        <v>เปิดสอนครบตามแผนที่กำหนด</v>
      </c>
      <c r="O5" s="53" t="s">
        <v>89</v>
      </c>
      <c r="P5" s="122" t="str">
        <f>IF(AND((P6=P7),(P6&gt;0)),"เปิดสอนครบตามแผนที่กำหนด",IF(AND((P6=P7),(P6=0)),"โปรดกรอกข้อมูลด้านล่าง","ไม่เป็นไปตามแผนที่กำหนด"))</f>
        <v>โปรดกรอกข้อมูลด้านล่าง</v>
      </c>
      <c r="Q5" s="360"/>
    </row>
    <row r="6" spans="1:17" ht="45" customHeight="1">
      <c r="A6" s="773"/>
      <c r="B6" s="125" t="s">
        <v>774</v>
      </c>
      <c r="C6" s="814">
        <v>201</v>
      </c>
      <c r="D6" s="814">
        <v>55</v>
      </c>
      <c r="E6" s="814">
        <v>108</v>
      </c>
      <c r="F6" s="814">
        <v>88</v>
      </c>
      <c r="G6" s="814">
        <v>321</v>
      </c>
      <c r="H6" s="815">
        <v>161</v>
      </c>
      <c r="I6" s="814">
        <v>251</v>
      </c>
      <c r="J6" s="814">
        <v>131</v>
      </c>
      <c r="K6" s="814">
        <v>104</v>
      </c>
      <c r="L6" s="814">
        <v>73</v>
      </c>
      <c r="M6" s="814">
        <v>336</v>
      </c>
      <c r="N6" s="814">
        <v>150</v>
      </c>
      <c r="O6" s="367">
        <f>SUM(C6:N6)</f>
        <v>1979</v>
      </c>
      <c r="P6" s="126">
        <v>0</v>
      </c>
      <c r="Q6" s="360"/>
    </row>
    <row r="7" spans="1:17" ht="45" customHeight="1">
      <c r="A7" s="773"/>
      <c r="B7" s="364" t="s">
        <v>775</v>
      </c>
      <c r="C7" s="816">
        <v>201</v>
      </c>
      <c r="D7" s="816">
        <v>55</v>
      </c>
      <c r="E7" s="816">
        <v>108</v>
      </c>
      <c r="F7" s="816">
        <v>88</v>
      </c>
      <c r="G7" s="816">
        <v>321</v>
      </c>
      <c r="H7" s="817">
        <v>161</v>
      </c>
      <c r="I7" s="816">
        <v>263</v>
      </c>
      <c r="J7" s="816">
        <v>134</v>
      </c>
      <c r="K7" s="816">
        <v>104</v>
      </c>
      <c r="L7" s="816">
        <v>85</v>
      </c>
      <c r="M7" s="816">
        <v>333</v>
      </c>
      <c r="N7" s="816">
        <v>150</v>
      </c>
      <c r="O7" s="368">
        <f>SUM(C7:N7)</f>
        <v>2003</v>
      </c>
      <c r="P7" s="111">
        <v>0</v>
      </c>
      <c r="Q7" s="360"/>
    </row>
    <row r="8" spans="1:17" ht="30" customHeight="1">
      <c r="A8" s="773"/>
      <c r="B8" s="1094" t="s">
        <v>949</v>
      </c>
      <c r="C8" s="387">
        <v>14</v>
      </c>
      <c r="D8" s="387">
        <v>2</v>
      </c>
      <c r="E8" s="387">
        <v>3</v>
      </c>
      <c r="F8" s="818">
        <v>2</v>
      </c>
      <c r="G8" s="387">
        <v>37</v>
      </c>
      <c r="H8" s="819">
        <v>21</v>
      </c>
      <c r="I8" s="387">
        <v>9</v>
      </c>
      <c r="J8" s="387">
        <v>6</v>
      </c>
      <c r="K8" s="387">
        <v>5</v>
      </c>
      <c r="L8" s="387">
        <v>5</v>
      </c>
      <c r="M8" s="387">
        <v>3</v>
      </c>
      <c r="N8" s="387">
        <v>6</v>
      </c>
      <c r="O8" s="387">
        <v>106</v>
      </c>
      <c r="P8" s="112">
        <f>SUM(D8:O8)</f>
        <v>205</v>
      </c>
      <c r="Q8" s="362" t="s">
        <v>672</v>
      </c>
    </row>
    <row r="9" spans="1:17" ht="30" customHeight="1">
      <c r="A9" s="773"/>
      <c r="B9" s="1094"/>
      <c r="C9" s="388">
        <v>375</v>
      </c>
      <c r="D9" s="388">
        <v>117</v>
      </c>
      <c r="E9" s="388">
        <v>40</v>
      </c>
      <c r="F9" s="820">
        <v>122</v>
      </c>
      <c r="G9" s="388">
        <v>594</v>
      </c>
      <c r="H9" s="821">
        <v>307</v>
      </c>
      <c r="I9" s="388">
        <v>119</v>
      </c>
      <c r="J9" s="388">
        <v>192</v>
      </c>
      <c r="K9" s="388">
        <v>179</v>
      </c>
      <c r="L9" s="388">
        <v>266</v>
      </c>
      <c r="M9" s="388">
        <v>195</v>
      </c>
      <c r="N9" s="388">
        <v>83</v>
      </c>
      <c r="O9" s="388">
        <f>SUM(C9:N9)</f>
        <v>2589</v>
      </c>
      <c r="P9" s="113">
        <f>SUM(D9:O9)</f>
        <v>4803</v>
      </c>
      <c r="Q9" s="362"/>
    </row>
    <row r="10" spans="1:17" ht="30" customHeight="1">
      <c r="A10" s="773"/>
      <c r="B10" s="1094"/>
      <c r="C10" s="860">
        <f t="shared" ref="C10:P10" si="1">C8/C9*100</f>
        <v>3.7333333333333338</v>
      </c>
      <c r="D10" s="860">
        <f t="shared" si="1"/>
        <v>1.7094017094017095</v>
      </c>
      <c r="E10" s="860">
        <f t="shared" si="1"/>
        <v>7.5</v>
      </c>
      <c r="F10" s="860">
        <f t="shared" si="1"/>
        <v>1.639344262295082</v>
      </c>
      <c r="G10" s="860">
        <f t="shared" si="1"/>
        <v>6.2289562289562292</v>
      </c>
      <c r="H10" s="958">
        <f t="shared" si="1"/>
        <v>6.8403908794788277</v>
      </c>
      <c r="I10" s="860">
        <f t="shared" si="1"/>
        <v>7.5630252100840334</v>
      </c>
      <c r="J10" s="860">
        <f t="shared" si="1"/>
        <v>3.125</v>
      </c>
      <c r="K10" s="860">
        <f t="shared" si="1"/>
        <v>2.7932960893854748</v>
      </c>
      <c r="L10" s="860">
        <f t="shared" si="1"/>
        <v>1.8796992481203008</v>
      </c>
      <c r="M10" s="860">
        <f t="shared" si="1"/>
        <v>1.5384615384615385</v>
      </c>
      <c r="N10" s="860">
        <f t="shared" si="1"/>
        <v>7.2289156626506017</v>
      </c>
      <c r="O10" s="860">
        <f t="shared" si="1"/>
        <v>4.0942448821938973</v>
      </c>
      <c r="P10" s="127">
        <f t="shared" si="1"/>
        <v>4.268165729752238</v>
      </c>
      <c r="Q10" s="362"/>
    </row>
    <row r="11" spans="1:17" ht="30" customHeight="1">
      <c r="A11" s="773"/>
      <c r="B11" s="1094"/>
      <c r="C11" s="856">
        <v>23</v>
      </c>
      <c r="D11" s="856">
        <v>6</v>
      </c>
      <c r="E11" s="856">
        <v>2</v>
      </c>
      <c r="F11" s="897">
        <v>8</v>
      </c>
      <c r="G11" s="856">
        <v>43</v>
      </c>
      <c r="H11" s="959">
        <v>19</v>
      </c>
      <c r="I11" s="856">
        <v>10</v>
      </c>
      <c r="J11" s="856">
        <v>14</v>
      </c>
      <c r="K11" s="856">
        <v>0</v>
      </c>
      <c r="L11" s="856">
        <v>22</v>
      </c>
      <c r="M11" s="856">
        <v>14</v>
      </c>
      <c r="N11" s="856">
        <v>4</v>
      </c>
      <c r="O11" s="856">
        <v>165</v>
      </c>
      <c r="P11" s="114">
        <f>SUM(D11:O11)</f>
        <v>307</v>
      </c>
      <c r="Q11" s="362" t="s">
        <v>331</v>
      </c>
    </row>
    <row r="12" spans="1:17" ht="30" customHeight="1">
      <c r="A12" s="773"/>
      <c r="B12" s="1094"/>
      <c r="C12" s="388">
        <v>432</v>
      </c>
      <c r="D12" s="388">
        <v>139</v>
      </c>
      <c r="E12" s="388">
        <v>44</v>
      </c>
      <c r="F12" s="820">
        <v>107</v>
      </c>
      <c r="G12" s="388">
        <v>654</v>
      </c>
      <c r="H12" s="821">
        <v>242</v>
      </c>
      <c r="I12" s="388">
        <v>137</v>
      </c>
      <c r="J12" s="388">
        <v>181</v>
      </c>
      <c r="K12" s="388">
        <v>187</v>
      </c>
      <c r="L12" s="388">
        <v>275</v>
      </c>
      <c r="M12" s="388">
        <v>181</v>
      </c>
      <c r="N12" s="388">
        <v>57</v>
      </c>
      <c r="O12" s="388">
        <f>SUM(C12:N12)</f>
        <v>2636</v>
      </c>
      <c r="P12" s="113">
        <f>SUM(D12:O12)</f>
        <v>4840</v>
      </c>
      <c r="Q12" s="362"/>
    </row>
    <row r="13" spans="1:17" ht="30" customHeight="1">
      <c r="A13" s="776"/>
      <c r="B13" s="1095"/>
      <c r="C13" s="371">
        <f t="shared" ref="C13:P13" si="2">C11/C12*100</f>
        <v>5.3240740740740744</v>
      </c>
      <c r="D13" s="371">
        <f t="shared" si="2"/>
        <v>4.3165467625899279</v>
      </c>
      <c r="E13" s="371">
        <f t="shared" si="2"/>
        <v>4.5454545454545459</v>
      </c>
      <c r="F13" s="371">
        <f t="shared" si="2"/>
        <v>7.4766355140186906</v>
      </c>
      <c r="G13" s="371">
        <f t="shared" si="2"/>
        <v>6.5749235474006111</v>
      </c>
      <c r="H13" s="822">
        <f t="shared" si="2"/>
        <v>7.8512396694214877</v>
      </c>
      <c r="I13" s="371">
        <f t="shared" si="2"/>
        <v>7.2992700729926998</v>
      </c>
      <c r="J13" s="371">
        <f t="shared" si="2"/>
        <v>7.7348066298342539</v>
      </c>
      <c r="K13" s="371">
        <f t="shared" si="2"/>
        <v>0</v>
      </c>
      <c r="L13" s="371">
        <f t="shared" si="2"/>
        <v>8</v>
      </c>
      <c r="M13" s="371">
        <f t="shared" si="2"/>
        <v>7.7348066298342539</v>
      </c>
      <c r="N13" s="371">
        <f t="shared" si="2"/>
        <v>7.0175438596491224</v>
      </c>
      <c r="O13" s="371">
        <f t="shared" si="2"/>
        <v>6.25948406676783</v>
      </c>
      <c r="P13" s="128">
        <f t="shared" si="2"/>
        <v>6.3429752066115705</v>
      </c>
      <c r="Q13" s="365"/>
    </row>
    <row r="14" spans="1:17" ht="30" customHeight="1">
      <c r="A14" s="772"/>
      <c r="B14" s="1093" t="s">
        <v>950</v>
      </c>
      <c r="C14" s="823">
        <v>5</v>
      </c>
      <c r="D14" s="823">
        <v>2</v>
      </c>
      <c r="E14" s="823">
        <v>0</v>
      </c>
      <c r="F14" s="824">
        <v>3</v>
      </c>
      <c r="G14" s="823">
        <v>7</v>
      </c>
      <c r="H14" s="825">
        <v>1</v>
      </c>
      <c r="I14" s="823">
        <v>5</v>
      </c>
      <c r="J14" s="823">
        <v>0</v>
      </c>
      <c r="K14" s="823">
        <v>0</v>
      </c>
      <c r="L14" s="823">
        <v>0</v>
      </c>
      <c r="M14" s="823">
        <v>0</v>
      </c>
      <c r="N14" s="823">
        <v>0</v>
      </c>
      <c r="O14" s="389">
        <v>23</v>
      </c>
      <c r="P14" s="119">
        <f>SUM(D14:O14)</f>
        <v>41</v>
      </c>
      <c r="Q14" s="365" t="s">
        <v>672</v>
      </c>
    </row>
    <row r="15" spans="1:17" ht="20.25">
      <c r="A15" s="773"/>
      <c r="B15" s="1094"/>
      <c r="C15" s="388">
        <v>104</v>
      </c>
      <c r="D15" s="388">
        <v>25</v>
      </c>
      <c r="E15" s="388">
        <v>22</v>
      </c>
      <c r="F15" s="820">
        <v>41</v>
      </c>
      <c r="G15" s="388">
        <v>153</v>
      </c>
      <c r="H15" s="821">
        <v>79</v>
      </c>
      <c r="I15" s="388">
        <v>91</v>
      </c>
      <c r="J15" s="388">
        <v>51</v>
      </c>
      <c r="K15" s="388">
        <v>53</v>
      </c>
      <c r="L15" s="388">
        <v>41</v>
      </c>
      <c r="M15" s="388">
        <v>173</v>
      </c>
      <c r="N15" s="388">
        <v>74</v>
      </c>
      <c r="O15" s="388">
        <f>SUM(C15:N15)</f>
        <v>907</v>
      </c>
      <c r="P15" s="113">
        <f>SUM(D15:O15)</f>
        <v>1710</v>
      </c>
      <c r="Q15" s="365"/>
    </row>
    <row r="16" spans="1:17" ht="30" customHeight="1">
      <c r="A16" s="773"/>
      <c r="B16" s="1094"/>
      <c r="C16" s="860">
        <f t="shared" ref="C16:P16" si="3">C14/C15*100</f>
        <v>4.8076923076923084</v>
      </c>
      <c r="D16" s="860">
        <f t="shared" si="3"/>
        <v>8</v>
      </c>
      <c r="E16" s="860">
        <f t="shared" si="3"/>
        <v>0</v>
      </c>
      <c r="F16" s="860">
        <f t="shared" si="3"/>
        <v>7.3170731707317067</v>
      </c>
      <c r="G16" s="860">
        <f t="shared" si="3"/>
        <v>4.5751633986928102</v>
      </c>
      <c r="H16" s="958">
        <f t="shared" si="3"/>
        <v>1.2658227848101267</v>
      </c>
      <c r="I16" s="860">
        <f t="shared" si="3"/>
        <v>5.4945054945054945</v>
      </c>
      <c r="J16" s="860">
        <f t="shared" si="3"/>
        <v>0</v>
      </c>
      <c r="K16" s="860">
        <f t="shared" si="3"/>
        <v>0</v>
      </c>
      <c r="L16" s="860">
        <f t="shared" si="3"/>
        <v>0</v>
      </c>
      <c r="M16" s="860">
        <f t="shared" si="3"/>
        <v>0</v>
      </c>
      <c r="N16" s="860">
        <f t="shared" si="3"/>
        <v>0</v>
      </c>
      <c r="O16" s="860">
        <f t="shared" si="3"/>
        <v>2.535832414553473</v>
      </c>
      <c r="P16" s="127">
        <f t="shared" si="3"/>
        <v>2.39766081871345</v>
      </c>
      <c r="Q16" s="365"/>
    </row>
    <row r="17" spans="1:18" ht="30" customHeight="1">
      <c r="A17" s="773"/>
      <c r="B17" s="1094"/>
      <c r="C17" s="856">
        <v>4</v>
      </c>
      <c r="D17" s="856">
        <v>2</v>
      </c>
      <c r="E17" s="856">
        <v>1</v>
      </c>
      <c r="F17" s="897">
        <v>0</v>
      </c>
      <c r="G17" s="856">
        <v>5</v>
      </c>
      <c r="H17" s="959">
        <v>0</v>
      </c>
      <c r="I17" s="856">
        <v>4</v>
      </c>
      <c r="J17" s="856">
        <v>4</v>
      </c>
      <c r="K17" s="856">
        <v>0</v>
      </c>
      <c r="L17" s="856">
        <v>0</v>
      </c>
      <c r="M17" s="856">
        <v>0</v>
      </c>
      <c r="N17" s="856">
        <v>0</v>
      </c>
      <c r="O17" s="856">
        <f>SUM(C17:N17)</f>
        <v>20</v>
      </c>
      <c r="P17" s="114">
        <f>SUM(D17:O17)</f>
        <v>36</v>
      </c>
      <c r="Q17" s="365" t="s">
        <v>331</v>
      </c>
    </row>
    <row r="18" spans="1:18" ht="30" customHeight="1">
      <c r="A18" s="773"/>
      <c r="B18" s="1094"/>
      <c r="C18" s="388">
        <v>97</v>
      </c>
      <c r="D18" s="388">
        <v>27</v>
      </c>
      <c r="E18" s="388">
        <v>20</v>
      </c>
      <c r="F18" s="820">
        <v>47</v>
      </c>
      <c r="G18" s="388">
        <v>168</v>
      </c>
      <c r="H18" s="821">
        <v>82</v>
      </c>
      <c r="I18" s="388">
        <v>108</v>
      </c>
      <c r="J18" s="388">
        <v>57</v>
      </c>
      <c r="K18" s="388">
        <v>51</v>
      </c>
      <c r="L18" s="388">
        <v>44</v>
      </c>
      <c r="M18" s="388">
        <v>162</v>
      </c>
      <c r="N18" s="388">
        <v>55</v>
      </c>
      <c r="O18" s="388">
        <f>SUM(C18:N18)</f>
        <v>918</v>
      </c>
      <c r="P18" s="113">
        <f>SUM(D18:O18)</f>
        <v>1739</v>
      </c>
      <c r="Q18" s="365"/>
    </row>
    <row r="19" spans="1:18" ht="30" customHeight="1">
      <c r="A19" s="773"/>
      <c r="B19" s="1095"/>
      <c r="C19" s="371">
        <f t="shared" ref="C19:P19" si="4">C17/C18*100</f>
        <v>4.1237113402061851</v>
      </c>
      <c r="D19" s="371">
        <f t="shared" si="4"/>
        <v>7.4074074074074066</v>
      </c>
      <c r="E19" s="371">
        <f t="shared" si="4"/>
        <v>5</v>
      </c>
      <c r="F19" s="371">
        <f t="shared" si="4"/>
        <v>0</v>
      </c>
      <c r="G19" s="371">
        <f t="shared" si="4"/>
        <v>2.9761904761904758</v>
      </c>
      <c r="H19" s="822">
        <f t="shared" si="4"/>
        <v>0</v>
      </c>
      <c r="I19" s="371">
        <f t="shared" si="4"/>
        <v>3.7037037037037033</v>
      </c>
      <c r="J19" s="371">
        <f t="shared" si="4"/>
        <v>7.0175438596491224</v>
      </c>
      <c r="K19" s="371">
        <f t="shared" si="4"/>
        <v>0</v>
      </c>
      <c r="L19" s="371">
        <f t="shared" si="4"/>
        <v>0</v>
      </c>
      <c r="M19" s="371">
        <f t="shared" si="4"/>
        <v>0</v>
      </c>
      <c r="N19" s="371">
        <f t="shared" si="4"/>
        <v>0</v>
      </c>
      <c r="O19" s="371">
        <f t="shared" si="4"/>
        <v>2.1786492374727668</v>
      </c>
      <c r="P19" s="128">
        <f t="shared" si="4"/>
        <v>2.070155261644623</v>
      </c>
      <c r="Q19" s="365"/>
    </row>
    <row r="20" spans="1:18" ht="45" customHeight="1">
      <c r="A20" s="357"/>
      <c r="B20" s="1093" t="s">
        <v>953</v>
      </c>
      <c r="C20" s="826">
        <v>12</v>
      </c>
      <c r="D20" s="826">
        <v>15</v>
      </c>
      <c r="E20" s="826">
        <v>12</v>
      </c>
      <c r="F20" s="826">
        <v>14</v>
      </c>
      <c r="G20" s="826">
        <v>19</v>
      </c>
      <c r="H20" s="827">
        <v>5</v>
      </c>
      <c r="I20" s="826">
        <v>15</v>
      </c>
      <c r="J20" s="826">
        <v>18</v>
      </c>
      <c r="K20" s="826">
        <v>0</v>
      </c>
      <c r="L20" s="826">
        <v>1</v>
      </c>
      <c r="M20" s="826">
        <v>18</v>
      </c>
      <c r="N20" s="826">
        <v>7</v>
      </c>
      <c r="O20" s="372">
        <v>12</v>
      </c>
      <c r="P20" s="129">
        <f>AVERAGE(D20:O20)</f>
        <v>11.333333333333334</v>
      </c>
      <c r="Q20" s="401" t="s">
        <v>672</v>
      </c>
      <c r="R20" s="785">
        <f>AVERAGE(C20:N20)</f>
        <v>11.333333333333334</v>
      </c>
    </row>
    <row r="21" spans="1:18" ht="45" customHeight="1">
      <c r="A21" s="357"/>
      <c r="B21" s="1095"/>
      <c r="C21" s="47">
        <v>14</v>
      </c>
      <c r="D21" s="47">
        <v>15</v>
      </c>
      <c r="E21" s="47">
        <v>10</v>
      </c>
      <c r="F21" s="47">
        <v>14</v>
      </c>
      <c r="G21" s="47">
        <v>19</v>
      </c>
      <c r="H21" s="828">
        <v>5</v>
      </c>
      <c r="I21" s="47">
        <v>14</v>
      </c>
      <c r="J21" s="47">
        <v>18</v>
      </c>
      <c r="K21" s="47">
        <v>0</v>
      </c>
      <c r="L21" s="829">
        <v>10</v>
      </c>
      <c r="M21" s="47">
        <v>17</v>
      </c>
      <c r="N21" s="47">
        <v>7</v>
      </c>
      <c r="O21" s="373">
        <f>AVERAGE(C21:N21)</f>
        <v>11.916666666666666</v>
      </c>
      <c r="P21" s="130">
        <f>AVERAGE(D21:O21)</f>
        <v>11.743055555555555</v>
      </c>
      <c r="Q21" s="401" t="s">
        <v>331</v>
      </c>
      <c r="R21" s="785">
        <f>AVERAGE(C21:N21)</f>
        <v>11.916666666666666</v>
      </c>
    </row>
    <row r="22" spans="1:18" ht="30" customHeight="1">
      <c r="A22" s="357"/>
      <c r="B22" s="1093" t="s">
        <v>951</v>
      </c>
      <c r="C22" s="830">
        <v>0</v>
      </c>
      <c r="D22" s="830">
        <v>0</v>
      </c>
      <c r="E22" s="830">
        <v>0</v>
      </c>
      <c r="F22" s="830">
        <v>0</v>
      </c>
      <c r="G22" s="830">
        <v>0</v>
      </c>
      <c r="H22" s="831">
        <v>0</v>
      </c>
      <c r="I22" s="830">
        <v>0</v>
      </c>
      <c r="J22" s="830">
        <v>0</v>
      </c>
      <c r="K22" s="830">
        <v>0</v>
      </c>
      <c r="L22" s="830">
        <v>0</v>
      </c>
      <c r="M22" s="830">
        <v>0</v>
      </c>
      <c r="N22" s="830">
        <v>0</v>
      </c>
      <c r="O22" s="389">
        <f>SUM(C22:N22)</f>
        <v>0</v>
      </c>
      <c r="P22" s="112">
        <f>SUM(D22:O22)</f>
        <v>0</v>
      </c>
      <c r="Q22" s="365" t="s">
        <v>672</v>
      </c>
    </row>
    <row r="23" spans="1:18" ht="30" customHeight="1">
      <c r="A23" s="357"/>
      <c r="B23" s="1094"/>
      <c r="C23" s="832">
        <v>4124</v>
      </c>
      <c r="D23" s="832">
        <v>1515</v>
      </c>
      <c r="E23" s="832">
        <v>205</v>
      </c>
      <c r="F23" s="833">
        <v>760</v>
      </c>
      <c r="G23" s="832">
        <v>2669</v>
      </c>
      <c r="H23" s="834">
        <v>2484</v>
      </c>
      <c r="I23" s="832">
        <v>858</v>
      </c>
      <c r="J23" s="832">
        <v>1949</v>
      </c>
      <c r="K23" s="832">
        <v>1501</v>
      </c>
      <c r="L23" s="832">
        <v>8890</v>
      </c>
      <c r="M23" s="832">
        <v>2218</v>
      </c>
      <c r="N23" s="832">
        <v>114</v>
      </c>
      <c r="O23" s="388">
        <f>SUM(C23:N23)</f>
        <v>27287</v>
      </c>
      <c r="P23" s="113">
        <f>SUM(D23:O23)</f>
        <v>50450</v>
      </c>
      <c r="Q23" s="365"/>
    </row>
    <row r="24" spans="1:18" ht="30" customHeight="1">
      <c r="A24" s="357"/>
      <c r="B24" s="1094"/>
      <c r="C24" s="375">
        <f t="shared" ref="C24:P24" si="5">C22/C23*100</f>
        <v>0</v>
      </c>
      <c r="D24" s="375">
        <f t="shared" si="5"/>
        <v>0</v>
      </c>
      <c r="E24" s="375">
        <f t="shared" si="5"/>
        <v>0</v>
      </c>
      <c r="F24" s="375">
        <f t="shared" si="5"/>
        <v>0</v>
      </c>
      <c r="G24" s="375">
        <f t="shared" si="5"/>
        <v>0</v>
      </c>
      <c r="H24" s="835">
        <f t="shared" si="5"/>
        <v>0</v>
      </c>
      <c r="I24" s="375">
        <f t="shared" si="5"/>
        <v>0</v>
      </c>
      <c r="J24" s="375">
        <f t="shared" si="5"/>
        <v>0</v>
      </c>
      <c r="K24" s="375">
        <f>K22/K23*100</f>
        <v>0</v>
      </c>
      <c r="L24" s="375">
        <v>0</v>
      </c>
      <c r="M24" s="375">
        <f t="shared" si="5"/>
        <v>0</v>
      </c>
      <c r="N24" s="375">
        <f t="shared" si="5"/>
        <v>0</v>
      </c>
      <c r="O24" s="375">
        <f t="shared" si="5"/>
        <v>0</v>
      </c>
      <c r="P24" s="117">
        <f t="shared" si="5"/>
        <v>0</v>
      </c>
      <c r="Q24" s="365"/>
    </row>
    <row r="25" spans="1:18" ht="30" customHeight="1">
      <c r="A25" s="357"/>
      <c r="B25" s="1094"/>
      <c r="C25" s="836">
        <v>0</v>
      </c>
      <c r="D25" s="836">
        <v>0</v>
      </c>
      <c r="E25" s="836">
        <v>0</v>
      </c>
      <c r="F25" s="836">
        <v>0</v>
      </c>
      <c r="G25" s="836">
        <v>0</v>
      </c>
      <c r="H25" s="837">
        <v>0</v>
      </c>
      <c r="I25" s="836">
        <v>0</v>
      </c>
      <c r="J25" s="836">
        <v>0</v>
      </c>
      <c r="K25" s="836">
        <v>0</v>
      </c>
      <c r="L25" s="836">
        <v>0</v>
      </c>
      <c r="M25" s="836">
        <v>0</v>
      </c>
      <c r="N25" s="836">
        <v>0</v>
      </c>
      <c r="O25" s="387">
        <f>SUM(C25:N25)</f>
        <v>0</v>
      </c>
      <c r="P25" s="114">
        <f>SUM(D25:O25)</f>
        <v>0</v>
      </c>
      <c r="Q25" s="365" t="s">
        <v>331</v>
      </c>
    </row>
    <row r="26" spans="1:18" ht="30" customHeight="1">
      <c r="A26" s="357"/>
      <c r="B26" s="1094"/>
      <c r="C26" s="832">
        <v>3859</v>
      </c>
      <c r="D26" s="832">
        <v>1439</v>
      </c>
      <c r="E26" s="832">
        <v>199</v>
      </c>
      <c r="F26" s="833">
        <v>746</v>
      </c>
      <c r="G26" s="832">
        <v>2390</v>
      </c>
      <c r="H26" s="834">
        <v>2347</v>
      </c>
      <c r="I26" s="832">
        <v>811</v>
      </c>
      <c r="J26" s="832">
        <v>1855</v>
      </c>
      <c r="K26" s="832">
        <v>1416</v>
      </c>
      <c r="L26" s="832">
        <v>9813</v>
      </c>
      <c r="M26" s="832">
        <v>1663</v>
      </c>
      <c r="N26" s="832">
        <v>108</v>
      </c>
      <c r="O26" s="388">
        <f>SUM(C26:N26)</f>
        <v>26646</v>
      </c>
      <c r="P26" s="113">
        <f>SUM(D26:O26)</f>
        <v>49433</v>
      </c>
      <c r="Q26" s="365"/>
    </row>
    <row r="27" spans="1:18" ht="30" customHeight="1">
      <c r="A27" s="358"/>
      <c r="B27" s="1095"/>
      <c r="C27" s="376">
        <f t="shared" ref="C27:P27" si="6">C25/C26*100</f>
        <v>0</v>
      </c>
      <c r="D27" s="376">
        <f t="shared" si="6"/>
        <v>0</v>
      </c>
      <c r="E27" s="376">
        <f t="shared" si="6"/>
        <v>0</v>
      </c>
      <c r="F27" s="376">
        <f t="shared" si="6"/>
        <v>0</v>
      </c>
      <c r="G27" s="376">
        <f t="shared" si="6"/>
        <v>0</v>
      </c>
      <c r="H27" s="838">
        <f t="shared" si="6"/>
        <v>0</v>
      </c>
      <c r="I27" s="376">
        <f t="shared" si="6"/>
        <v>0</v>
      </c>
      <c r="J27" s="376">
        <f t="shared" si="6"/>
        <v>0</v>
      </c>
      <c r="K27" s="376">
        <f t="shared" si="6"/>
        <v>0</v>
      </c>
      <c r="L27" s="376">
        <v>0</v>
      </c>
      <c r="M27" s="376">
        <f t="shared" si="6"/>
        <v>0</v>
      </c>
      <c r="N27" s="376">
        <f t="shared" si="6"/>
        <v>0</v>
      </c>
      <c r="O27" s="376">
        <f t="shared" si="6"/>
        <v>0</v>
      </c>
      <c r="P27" s="121">
        <f t="shared" si="6"/>
        <v>0</v>
      </c>
      <c r="Q27" s="365"/>
    </row>
    <row r="28" spans="1:18" ht="60" customHeight="1">
      <c r="A28" s="356"/>
      <c r="B28" s="1093" t="s">
        <v>952</v>
      </c>
      <c r="C28" s="826">
        <v>7</v>
      </c>
      <c r="D28" s="826">
        <v>10</v>
      </c>
      <c r="E28" s="826">
        <v>7</v>
      </c>
      <c r="F28" s="826">
        <v>14</v>
      </c>
      <c r="G28" s="826">
        <v>7</v>
      </c>
      <c r="H28" s="827">
        <v>5</v>
      </c>
      <c r="I28" s="826">
        <v>7</v>
      </c>
      <c r="J28" s="826">
        <v>7</v>
      </c>
      <c r="K28" s="826">
        <v>7</v>
      </c>
      <c r="L28" s="826">
        <v>7</v>
      </c>
      <c r="M28" s="826">
        <v>12</v>
      </c>
      <c r="N28" s="839">
        <v>7</v>
      </c>
      <c r="O28" s="398">
        <f>AVERAGE(C28:N28)</f>
        <v>8.0833333333333339</v>
      </c>
      <c r="P28" s="399">
        <f>AVERAGE(D28:O28)</f>
        <v>8.1736111111111107</v>
      </c>
      <c r="Q28" s="401" t="s">
        <v>672</v>
      </c>
    </row>
    <row r="29" spans="1:18" ht="83.25" customHeight="1">
      <c r="A29" s="358"/>
      <c r="B29" s="1095"/>
      <c r="C29" s="47">
        <v>7</v>
      </c>
      <c r="D29" s="47">
        <v>10</v>
      </c>
      <c r="E29" s="47">
        <v>7</v>
      </c>
      <c r="F29" s="47">
        <v>14</v>
      </c>
      <c r="G29" s="47">
        <v>7</v>
      </c>
      <c r="H29" s="828">
        <v>5</v>
      </c>
      <c r="I29" s="47">
        <v>7</v>
      </c>
      <c r="J29" s="47">
        <v>7</v>
      </c>
      <c r="K29" s="47">
        <v>7</v>
      </c>
      <c r="L29" s="47">
        <v>7</v>
      </c>
      <c r="M29" s="47">
        <v>17</v>
      </c>
      <c r="N29" s="47">
        <v>7</v>
      </c>
      <c r="O29" s="142">
        <f>AVERAGE(C29:N29)</f>
        <v>8.5</v>
      </c>
      <c r="P29" s="132">
        <f>AVERAGE(D29:O29)</f>
        <v>8.625</v>
      </c>
      <c r="Q29" s="401" t="s">
        <v>331</v>
      </c>
    </row>
    <row r="30" spans="1:18" ht="30" customHeight="1">
      <c r="A30" s="1091" t="s">
        <v>9</v>
      </c>
      <c r="B30" s="1093" t="s">
        <v>79</v>
      </c>
      <c r="C30" s="840">
        <v>375</v>
      </c>
      <c r="D30" s="840">
        <v>117</v>
      </c>
      <c r="E30" s="840">
        <v>40</v>
      </c>
      <c r="F30" s="841">
        <v>122</v>
      </c>
      <c r="G30" s="840">
        <v>594</v>
      </c>
      <c r="H30" s="842">
        <v>307</v>
      </c>
      <c r="I30" s="840">
        <v>119</v>
      </c>
      <c r="J30" s="840">
        <v>192</v>
      </c>
      <c r="K30" s="840">
        <v>179</v>
      </c>
      <c r="L30" s="840">
        <v>266</v>
      </c>
      <c r="M30" s="840">
        <v>195</v>
      </c>
      <c r="N30" s="840">
        <v>83</v>
      </c>
      <c r="O30" s="390">
        <f>SUM(C30:N30)</f>
        <v>2589</v>
      </c>
      <c r="P30" s="112">
        <f>SUM(D30:O30)</f>
        <v>4803</v>
      </c>
      <c r="Q30" s="365" t="s">
        <v>672</v>
      </c>
    </row>
    <row r="31" spans="1:18" ht="30" customHeight="1">
      <c r="A31" s="1092"/>
      <c r="B31" s="1094"/>
      <c r="C31" s="832">
        <v>375</v>
      </c>
      <c r="D31" s="832">
        <v>117</v>
      </c>
      <c r="E31" s="832">
        <v>40</v>
      </c>
      <c r="F31" s="833">
        <v>122</v>
      </c>
      <c r="G31" s="832">
        <v>594</v>
      </c>
      <c r="H31" s="834">
        <v>307</v>
      </c>
      <c r="I31" s="832">
        <v>119</v>
      </c>
      <c r="J31" s="832">
        <v>192</v>
      </c>
      <c r="K31" s="832">
        <v>179</v>
      </c>
      <c r="L31" s="832">
        <v>266</v>
      </c>
      <c r="M31" s="832">
        <v>195</v>
      </c>
      <c r="N31" s="832">
        <v>83</v>
      </c>
      <c r="O31" s="388">
        <f>SUM(C31:N31)</f>
        <v>2589</v>
      </c>
      <c r="P31" s="113">
        <f>SUM(D31:O31)</f>
        <v>4803</v>
      </c>
      <c r="Q31" s="365"/>
    </row>
    <row r="32" spans="1:18" ht="30" customHeight="1">
      <c r="A32" s="1092"/>
      <c r="B32" s="1094"/>
      <c r="C32" s="843">
        <f t="shared" ref="C32:P32" si="7">C30/C31*100</f>
        <v>100</v>
      </c>
      <c r="D32" s="843">
        <f t="shared" si="7"/>
        <v>100</v>
      </c>
      <c r="E32" s="843">
        <f t="shared" si="7"/>
        <v>100</v>
      </c>
      <c r="F32" s="843">
        <f t="shared" si="7"/>
        <v>100</v>
      </c>
      <c r="G32" s="843">
        <f t="shared" si="7"/>
        <v>100</v>
      </c>
      <c r="H32" s="844">
        <f t="shared" si="7"/>
        <v>100</v>
      </c>
      <c r="I32" s="843">
        <f t="shared" si="7"/>
        <v>100</v>
      </c>
      <c r="J32" s="843">
        <f t="shared" si="7"/>
        <v>100</v>
      </c>
      <c r="K32" s="843">
        <f t="shared" si="7"/>
        <v>100</v>
      </c>
      <c r="L32" s="843">
        <f t="shared" si="7"/>
        <v>100</v>
      </c>
      <c r="M32" s="843">
        <f t="shared" si="7"/>
        <v>100</v>
      </c>
      <c r="N32" s="843">
        <f t="shared" si="7"/>
        <v>100</v>
      </c>
      <c r="O32" s="382">
        <f t="shared" si="7"/>
        <v>100</v>
      </c>
      <c r="P32" s="133">
        <f t="shared" si="7"/>
        <v>100</v>
      </c>
      <c r="Q32" s="365"/>
    </row>
    <row r="33" spans="1:17" ht="30" customHeight="1">
      <c r="A33" s="1092"/>
      <c r="B33" s="1094"/>
      <c r="C33" s="845">
        <v>432</v>
      </c>
      <c r="D33" s="845">
        <v>139</v>
      </c>
      <c r="E33" s="845">
        <v>44</v>
      </c>
      <c r="F33" s="846">
        <v>107</v>
      </c>
      <c r="G33" s="845">
        <v>654</v>
      </c>
      <c r="H33" s="847">
        <v>242</v>
      </c>
      <c r="I33" s="845">
        <v>137</v>
      </c>
      <c r="J33" s="845">
        <v>181</v>
      </c>
      <c r="K33" s="845">
        <v>187</v>
      </c>
      <c r="L33" s="845">
        <v>275</v>
      </c>
      <c r="M33" s="845">
        <v>181</v>
      </c>
      <c r="N33" s="845">
        <v>57</v>
      </c>
      <c r="O33" s="387">
        <f>SUM(C33:N33)</f>
        <v>2636</v>
      </c>
      <c r="P33" s="114">
        <f>SUM(D33:O33)</f>
        <v>4840</v>
      </c>
      <c r="Q33" s="365" t="s">
        <v>331</v>
      </c>
    </row>
    <row r="34" spans="1:17" ht="30" customHeight="1">
      <c r="A34" s="1092"/>
      <c r="B34" s="1094"/>
      <c r="C34" s="832">
        <v>432</v>
      </c>
      <c r="D34" s="832">
        <v>139</v>
      </c>
      <c r="E34" s="832">
        <v>44</v>
      </c>
      <c r="F34" s="833">
        <v>107</v>
      </c>
      <c r="G34" s="832">
        <v>654</v>
      </c>
      <c r="H34" s="834">
        <v>242</v>
      </c>
      <c r="I34" s="832">
        <v>137</v>
      </c>
      <c r="J34" s="832">
        <v>181</v>
      </c>
      <c r="K34" s="832">
        <v>187</v>
      </c>
      <c r="L34" s="832">
        <v>275</v>
      </c>
      <c r="M34" s="832">
        <v>181</v>
      </c>
      <c r="N34" s="832">
        <v>57</v>
      </c>
      <c r="O34" s="388">
        <f>SUM(C34:N34)</f>
        <v>2636</v>
      </c>
      <c r="P34" s="113">
        <f>SUM(D34:O34)</f>
        <v>4840</v>
      </c>
      <c r="Q34" s="365"/>
    </row>
    <row r="35" spans="1:17" ht="30" customHeight="1">
      <c r="A35" s="1096"/>
      <c r="B35" s="1095"/>
      <c r="C35" s="383">
        <f t="shared" ref="C35:P35" si="8">C33/C34*100</f>
        <v>100</v>
      </c>
      <c r="D35" s="383">
        <f t="shared" si="8"/>
        <v>100</v>
      </c>
      <c r="E35" s="383">
        <f t="shared" si="8"/>
        <v>100</v>
      </c>
      <c r="F35" s="383">
        <f t="shared" si="8"/>
        <v>100</v>
      </c>
      <c r="G35" s="383">
        <f t="shared" si="8"/>
        <v>100</v>
      </c>
      <c r="H35" s="848">
        <f t="shared" si="8"/>
        <v>100</v>
      </c>
      <c r="I35" s="383">
        <f t="shared" si="8"/>
        <v>100</v>
      </c>
      <c r="J35" s="383">
        <f t="shared" si="8"/>
        <v>100</v>
      </c>
      <c r="K35" s="383">
        <f t="shared" si="8"/>
        <v>100</v>
      </c>
      <c r="L35" s="383">
        <f t="shared" si="8"/>
        <v>100</v>
      </c>
      <c r="M35" s="383">
        <f t="shared" si="8"/>
        <v>100</v>
      </c>
      <c r="N35" s="383">
        <f t="shared" si="8"/>
        <v>100</v>
      </c>
      <c r="O35" s="383">
        <f t="shared" si="8"/>
        <v>100</v>
      </c>
      <c r="P35" s="118">
        <f t="shared" si="8"/>
        <v>100</v>
      </c>
      <c r="Q35" s="365"/>
    </row>
    <row r="36" spans="1:17" ht="61.5" customHeight="1">
      <c r="A36" s="1091" t="s">
        <v>10</v>
      </c>
      <c r="B36" s="1093" t="s">
        <v>954</v>
      </c>
      <c r="C36" s="849">
        <v>12</v>
      </c>
      <c r="D36" s="849">
        <v>5</v>
      </c>
      <c r="E36" s="849">
        <v>7</v>
      </c>
      <c r="F36" s="849">
        <v>14</v>
      </c>
      <c r="G36" s="849">
        <v>11</v>
      </c>
      <c r="H36" s="850">
        <v>10</v>
      </c>
      <c r="I36" s="849">
        <v>8</v>
      </c>
      <c r="J36" s="849">
        <v>14</v>
      </c>
      <c r="K36" s="849">
        <v>7</v>
      </c>
      <c r="L36" s="849">
        <v>10</v>
      </c>
      <c r="M36" s="849">
        <v>8</v>
      </c>
      <c r="N36" s="849">
        <v>7</v>
      </c>
      <c r="O36" s="379">
        <f>AVERAGE(C36:N36)</f>
        <v>9.4166666666666661</v>
      </c>
      <c r="P36" s="157">
        <f>AVERAGE(D36:O36)</f>
        <v>9.2013888888888893</v>
      </c>
      <c r="Q36" s="401" t="s">
        <v>672</v>
      </c>
    </row>
    <row r="37" spans="1:17" ht="60" customHeight="1">
      <c r="A37" s="1092"/>
      <c r="B37" s="1094"/>
      <c r="C37" s="960">
        <v>1</v>
      </c>
      <c r="D37" s="960">
        <v>5</v>
      </c>
      <c r="E37" s="960">
        <v>10</v>
      </c>
      <c r="F37" s="960">
        <v>14</v>
      </c>
      <c r="G37" s="960">
        <v>11</v>
      </c>
      <c r="H37" s="961">
        <v>10</v>
      </c>
      <c r="I37" s="960">
        <v>10</v>
      </c>
      <c r="J37" s="960">
        <v>14</v>
      </c>
      <c r="K37" s="960">
        <v>7</v>
      </c>
      <c r="L37" s="960">
        <v>1</v>
      </c>
      <c r="M37" s="960">
        <v>10</v>
      </c>
      <c r="N37" s="960">
        <v>7</v>
      </c>
      <c r="O37" s="962">
        <f>AVERAGE(C37:N37)</f>
        <v>8.3333333333333339</v>
      </c>
      <c r="P37" s="158">
        <f>AVERAGE(D37:O37)</f>
        <v>8.9444444444444446</v>
      </c>
      <c r="Q37" s="401" t="s">
        <v>331</v>
      </c>
    </row>
    <row r="38" spans="1:17" ht="50.1" customHeight="1">
      <c r="A38" s="1092"/>
      <c r="B38" s="1093" t="s">
        <v>59</v>
      </c>
      <c r="C38" s="826" t="s">
        <v>102</v>
      </c>
      <c r="D38" s="826" t="s">
        <v>102</v>
      </c>
      <c r="E38" s="826" t="s">
        <v>102</v>
      </c>
      <c r="F38" s="826" t="s">
        <v>102</v>
      </c>
      <c r="G38" s="826" t="s">
        <v>102</v>
      </c>
      <c r="H38" s="827" t="s">
        <v>102</v>
      </c>
      <c r="I38" s="826" t="s">
        <v>102</v>
      </c>
      <c r="J38" s="826" t="s">
        <v>102</v>
      </c>
      <c r="K38" s="826" t="s">
        <v>102</v>
      </c>
      <c r="L38" s="826" t="s">
        <v>102</v>
      </c>
      <c r="M38" s="826" t="s">
        <v>102</v>
      </c>
      <c r="N38" s="826" t="s">
        <v>102</v>
      </c>
      <c r="O38" s="398" t="s">
        <v>102</v>
      </c>
      <c r="P38" s="131" t="s">
        <v>102</v>
      </c>
      <c r="Q38" s="401" t="s">
        <v>672</v>
      </c>
    </row>
    <row r="39" spans="1:17" ht="50.1" customHeight="1">
      <c r="A39" s="1096"/>
      <c r="B39" s="1095"/>
      <c r="C39" s="47" t="s">
        <v>102</v>
      </c>
      <c r="D39" s="47" t="s">
        <v>102</v>
      </c>
      <c r="E39" s="47" t="s">
        <v>102</v>
      </c>
      <c r="F39" s="47" t="s">
        <v>102</v>
      </c>
      <c r="G39" s="47" t="s">
        <v>102</v>
      </c>
      <c r="H39" s="828" t="s">
        <v>102</v>
      </c>
      <c r="I39" s="47" t="s">
        <v>102</v>
      </c>
      <c r="J39" s="47" t="s">
        <v>102</v>
      </c>
      <c r="K39" s="47" t="s">
        <v>102</v>
      </c>
      <c r="L39" s="47" t="s">
        <v>102</v>
      </c>
      <c r="M39" s="47" t="s">
        <v>102</v>
      </c>
      <c r="N39" s="47" t="s">
        <v>102</v>
      </c>
      <c r="O39" s="380" t="s">
        <v>102</v>
      </c>
      <c r="P39" s="134" t="s">
        <v>102</v>
      </c>
      <c r="Q39" s="401" t="s">
        <v>331</v>
      </c>
    </row>
    <row r="40" spans="1:17" ht="30" customHeight="1">
      <c r="A40" s="1091" t="s">
        <v>11</v>
      </c>
      <c r="B40" s="1093" t="s">
        <v>78</v>
      </c>
      <c r="C40" s="830">
        <v>375</v>
      </c>
      <c r="D40" s="830">
        <v>117</v>
      </c>
      <c r="E40" s="830">
        <v>40</v>
      </c>
      <c r="F40" s="851">
        <v>122</v>
      </c>
      <c r="G40" s="830">
        <v>594</v>
      </c>
      <c r="H40" s="831">
        <v>307</v>
      </c>
      <c r="I40" s="830">
        <v>119</v>
      </c>
      <c r="J40" s="830">
        <v>192</v>
      </c>
      <c r="K40" s="830">
        <v>179</v>
      </c>
      <c r="L40" s="830">
        <v>266</v>
      </c>
      <c r="M40" s="830">
        <v>195</v>
      </c>
      <c r="N40" s="830">
        <v>83</v>
      </c>
      <c r="O40" s="369">
        <f>SUM(C40:N40)</f>
        <v>2589</v>
      </c>
      <c r="P40" s="114">
        <f>SUM(D40:O40)</f>
        <v>4803</v>
      </c>
      <c r="Q40" s="365" t="s">
        <v>672</v>
      </c>
    </row>
    <row r="41" spans="1:17" ht="30" customHeight="1">
      <c r="A41" s="1092"/>
      <c r="B41" s="1094"/>
      <c r="C41" s="832">
        <v>375</v>
      </c>
      <c r="D41" s="832">
        <v>117</v>
      </c>
      <c r="E41" s="832">
        <v>40</v>
      </c>
      <c r="F41" s="833">
        <v>122</v>
      </c>
      <c r="G41" s="832">
        <v>594</v>
      </c>
      <c r="H41" s="834">
        <v>307</v>
      </c>
      <c r="I41" s="832">
        <v>119</v>
      </c>
      <c r="J41" s="832">
        <v>192</v>
      </c>
      <c r="K41" s="832">
        <v>179</v>
      </c>
      <c r="L41" s="832">
        <v>266</v>
      </c>
      <c r="M41" s="832">
        <v>195</v>
      </c>
      <c r="N41" s="832">
        <v>83</v>
      </c>
      <c r="O41" s="370">
        <f>SUM(C41:N41)</f>
        <v>2589</v>
      </c>
      <c r="P41" s="113">
        <f>SUM(D41:O41)</f>
        <v>4803</v>
      </c>
      <c r="Q41" s="365"/>
    </row>
    <row r="42" spans="1:17" ht="30" customHeight="1">
      <c r="A42" s="1092"/>
      <c r="B42" s="1094"/>
      <c r="C42" s="852">
        <f t="shared" ref="C42:P42" si="9">C40/C41*100</f>
        <v>100</v>
      </c>
      <c r="D42" s="852">
        <f t="shared" si="9"/>
        <v>100</v>
      </c>
      <c r="E42" s="852">
        <f t="shared" si="9"/>
        <v>100</v>
      </c>
      <c r="F42" s="852">
        <f t="shared" si="9"/>
        <v>100</v>
      </c>
      <c r="G42" s="852">
        <f t="shared" si="9"/>
        <v>100</v>
      </c>
      <c r="H42" s="853">
        <f t="shared" si="9"/>
        <v>100</v>
      </c>
      <c r="I42" s="852">
        <f t="shared" si="9"/>
        <v>100</v>
      </c>
      <c r="J42" s="852">
        <f t="shared" si="9"/>
        <v>100</v>
      </c>
      <c r="K42" s="852">
        <f t="shared" si="9"/>
        <v>100</v>
      </c>
      <c r="L42" s="852">
        <f t="shared" si="9"/>
        <v>100</v>
      </c>
      <c r="M42" s="852">
        <f t="shared" si="9"/>
        <v>100</v>
      </c>
      <c r="N42" s="852">
        <f t="shared" si="9"/>
        <v>100</v>
      </c>
      <c r="O42" s="377">
        <f t="shared" si="9"/>
        <v>100</v>
      </c>
      <c r="P42" s="133">
        <f t="shared" si="9"/>
        <v>100</v>
      </c>
      <c r="Q42" s="365"/>
    </row>
    <row r="43" spans="1:17" ht="30" customHeight="1">
      <c r="A43" s="1092"/>
      <c r="B43" s="1094"/>
      <c r="C43" s="845">
        <v>432</v>
      </c>
      <c r="D43" s="845">
        <v>139</v>
      </c>
      <c r="E43" s="845">
        <v>44</v>
      </c>
      <c r="F43" s="846">
        <v>107</v>
      </c>
      <c r="G43" s="845">
        <v>654</v>
      </c>
      <c r="H43" s="847">
        <v>242</v>
      </c>
      <c r="I43" s="845">
        <v>137</v>
      </c>
      <c r="J43" s="845">
        <v>181</v>
      </c>
      <c r="K43" s="845">
        <v>187</v>
      </c>
      <c r="L43" s="845">
        <v>275</v>
      </c>
      <c r="M43" s="845">
        <v>181</v>
      </c>
      <c r="N43" s="845">
        <v>57</v>
      </c>
      <c r="O43" s="369">
        <f>SUM(C43:N43)</f>
        <v>2636</v>
      </c>
      <c r="P43" s="114">
        <f>SUM(D43:O43)</f>
        <v>4840</v>
      </c>
      <c r="Q43" s="365" t="s">
        <v>331</v>
      </c>
    </row>
    <row r="44" spans="1:17" ht="30" customHeight="1">
      <c r="A44" s="1092"/>
      <c r="B44" s="1094"/>
      <c r="C44" s="832">
        <v>432</v>
      </c>
      <c r="D44" s="832">
        <v>139</v>
      </c>
      <c r="E44" s="832">
        <v>44</v>
      </c>
      <c r="F44" s="833">
        <v>107</v>
      </c>
      <c r="G44" s="832">
        <v>654</v>
      </c>
      <c r="H44" s="834">
        <v>242</v>
      </c>
      <c r="I44" s="832">
        <v>137</v>
      </c>
      <c r="J44" s="832">
        <v>181</v>
      </c>
      <c r="K44" s="832">
        <v>187</v>
      </c>
      <c r="L44" s="832">
        <v>275</v>
      </c>
      <c r="M44" s="832">
        <v>181</v>
      </c>
      <c r="N44" s="832">
        <v>57</v>
      </c>
      <c r="O44" s="370">
        <f>SUM(C44:N44)</f>
        <v>2636</v>
      </c>
      <c r="P44" s="113">
        <f>SUM(D44:O44)</f>
        <v>4840</v>
      </c>
      <c r="Q44" s="365"/>
    </row>
    <row r="45" spans="1:17" ht="30" customHeight="1">
      <c r="A45" s="1096"/>
      <c r="B45" s="1095"/>
      <c r="C45" s="378">
        <f t="shared" ref="C45:P45" si="10">C43/C44*100</f>
        <v>100</v>
      </c>
      <c r="D45" s="378">
        <f t="shared" si="10"/>
        <v>100</v>
      </c>
      <c r="E45" s="378">
        <f t="shared" si="10"/>
        <v>100</v>
      </c>
      <c r="F45" s="378">
        <f t="shared" si="10"/>
        <v>100</v>
      </c>
      <c r="G45" s="378">
        <f t="shared" si="10"/>
        <v>100</v>
      </c>
      <c r="H45" s="854">
        <f t="shared" si="10"/>
        <v>100</v>
      </c>
      <c r="I45" s="378">
        <f t="shared" si="10"/>
        <v>100</v>
      </c>
      <c r="J45" s="378">
        <f t="shared" si="10"/>
        <v>100</v>
      </c>
      <c r="K45" s="378">
        <f t="shared" si="10"/>
        <v>100</v>
      </c>
      <c r="L45" s="378">
        <f t="shared" si="10"/>
        <v>100</v>
      </c>
      <c r="M45" s="378">
        <f t="shared" si="10"/>
        <v>100</v>
      </c>
      <c r="N45" s="378">
        <f t="shared" si="10"/>
        <v>100</v>
      </c>
      <c r="O45" s="378">
        <f t="shared" si="10"/>
        <v>100</v>
      </c>
      <c r="P45" s="118">
        <f t="shared" si="10"/>
        <v>100</v>
      </c>
      <c r="Q45" s="365"/>
    </row>
    <row r="46" spans="1:17" ht="30" customHeight="1">
      <c r="A46" s="1091" t="s">
        <v>12</v>
      </c>
      <c r="B46" s="1093" t="s">
        <v>464</v>
      </c>
      <c r="C46" s="389"/>
      <c r="D46" s="389"/>
      <c r="E46" s="389"/>
      <c r="F46" s="855"/>
      <c r="G46" s="389">
        <v>19</v>
      </c>
      <c r="H46" s="897">
        <v>100</v>
      </c>
      <c r="I46" s="856">
        <v>69</v>
      </c>
      <c r="J46" s="857"/>
      <c r="K46" s="389"/>
      <c r="L46" s="855"/>
      <c r="M46" s="855"/>
      <c r="N46" s="855"/>
      <c r="O46" s="389">
        <f>SUM(C46:N46)</f>
        <v>188</v>
      </c>
      <c r="P46" s="400">
        <f>SUM(D46:O46)</f>
        <v>376</v>
      </c>
      <c r="Q46" s="402" t="s">
        <v>672</v>
      </c>
    </row>
    <row r="47" spans="1:17" ht="30" customHeight="1">
      <c r="A47" s="1092"/>
      <c r="B47" s="1094"/>
      <c r="C47" s="388"/>
      <c r="D47" s="388"/>
      <c r="E47" s="388"/>
      <c r="F47" s="388"/>
      <c r="G47" s="388">
        <v>19</v>
      </c>
      <c r="H47" s="820">
        <v>100</v>
      </c>
      <c r="I47" s="388">
        <v>69</v>
      </c>
      <c r="J47" s="388"/>
      <c r="K47" s="388"/>
      <c r="L47" s="388"/>
      <c r="M47" s="388"/>
      <c r="N47" s="388"/>
      <c r="O47" s="388">
        <f>SUM(C47:N47)</f>
        <v>188</v>
      </c>
      <c r="P47" s="392">
        <f>SUM(D47:O47)</f>
        <v>376</v>
      </c>
      <c r="Q47" s="365"/>
    </row>
    <row r="48" spans="1:17" ht="39.950000000000003" customHeight="1">
      <c r="A48" s="1092"/>
      <c r="B48" s="1094"/>
      <c r="C48" s="860" t="s">
        <v>103</v>
      </c>
      <c r="D48" s="860" t="s">
        <v>103</v>
      </c>
      <c r="E48" s="860" t="s">
        <v>103</v>
      </c>
      <c r="F48" s="860" t="s">
        <v>103</v>
      </c>
      <c r="G48" s="860">
        <f>G46/G47*100</f>
        <v>100</v>
      </c>
      <c r="H48" s="958">
        <f>H46/H47*100</f>
        <v>100</v>
      </c>
      <c r="I48" s="860">
        <f>I46/I47*100</f>
        <v>100</v>
      </c>
      <c r="J48" s="860" t="s">
        <v>103</v>
      </c>
      <c r="K48" s="860" t="s">
        <v>103</v>
      </c>
      <c r="L48" s="860" t="s">
        <v>103</v>
      </c>
      <c r="M48" s="860" t="s">
        <v>103</v>
      </c>
      <c r="N48" s="860" t="s">
        <v>103</v>
      </c>
      <c r="O48" s="860">
        <f>O46/O47*100</f>
        <v>100</v>
      </c>
      <c r="P48" s="115">
        <f>P46/P47*100</f>
        <v>100</v>
      </c>
      <c r="Q48" s="365"/>
    </row>
    <row r="49" spans="1:17" ht="30" customHeight="1">
      <c r="A49" s="1092"/>
      <c r="B49" s="774"/>
      <c r="C49" s="856"/>
      <c r="D49" s="856"/>
      <c r="E49" s="856"/>
      <c r="F49" s="856"/>
      <c r="G49" s="856">
        <v>164</v>
      </c>
      <c r="H49" s="897"/>
      <c r="I49" s="856"/>
      <c r="J49" s="858"/>
      <c r="K49" s="856"/>
      <c r="L49" s="867"/>
      <c r="M49" s="858"/>
      <c r="N49" s="858"/>
      <c r="O49" s="856">
        <f>SUM(C49:N49)</f>
        <v>164</v>
      </c>
      <c r="P49" s="393">
        <f>SUM(D49:O49)</f>
        <v>328</v>
      </c>
      <c r="Q49" s="402" t="s">
        <v>331</v>
      </c>
    </row>
    <row r="50" spans="1:17" ht="30" customHeight="1">
      <c r="A50" s="1092"/>
      <c r="B50" s="774"/>
      <c r="C50" s="388"/>
      <c r="D50" s="388"/>
      <c r="E50" s="388"/>
      <c r="F50" s="388"/>
      <c r="G50" s="388">
        <v>164</v>
      </c>
      <c r="H50" s="820"/>
      <c r="I50" s="388"/>
      <c r="J50" s="388"/>
      <c r="K50" s="388"/>
      <c r="L50" s="388"/>
      <c r="M50" s="388"/>
      <c r="N50" s="388"/>
      <c r="O50" s="388">
        <f>SUM(C50:N50)</f>
        <v>164</v>
      </c>
      <c r="P50" s="392">
        <f>SUM(D50:O50)</f>
        <v>328</v>
      </c>
      <c r="Q50" s="365"/>
    </row>
    <row r="51" spans="1:17" ht="39.950000000000003" customHeight="1">
      <c r="A51" s="1092"/>
      <c r="B51" s="775"/>
      <c r="C51" s="371" t="s">
        <v>103</v>
      </c>
      <c r="D51" s="371" t="s">
        <v>103</v>
      </c>
      <c r="E51" s="371" t="s">
        <v>103</v>
      </c>
      <c r="F51" s="371" t="s">
        <v>103</v>
      </c>
      <c r="G51" s="860">
        <f>G49/G50*100</f>
        <v>100</v>
      </c>
      <c r="H51" s="822"/>
      <c r="I51" s="371"/>
      <c r="J51" s="371" t="s">
        <v>103</v>
      </c>
      <c r="K51" s="371" t="s">
        <v>103</v>
      </c>
      <c r="L51" s="371" t="s">
        <v>103</v>
      </c>
      <c r="M51" s="371" t="s">
        <v>103</v>
      </c>
      <c r="N51" s="371" t="s">
        <v>103</v>
      </c>
      <c r="O51" s="371">
        <f>O49/O50*100</f>
        <v>100</v>
      </c>
      <c r="P51" s="116">
        <f>P49/P50*100</f>
        <v>100</v>
      </c>
      <c r="Q51" s="365"/>
    </row>
    <row r="52" spans="1:17" ht="30" customHeight="1">
      <c r="A52" s="357"/>
      <c r="B52" s="1093" t="s">
        <v>618</v>
      </c>
      <c r="C52" s="861">
        <v>0</v>
      </c>
      <c r="D52" s="861">
        <v>0</v>
      </c>
      <c r="E52" s="861">
        <v>0</v>
      </c>
      <c r="F52" s="861">
        <v>0</v>
      </c>
      <c r="G52" s="862">
        <v>19</v>
      </c>
      <c r="H52" s="863">
        <v>100</v>
      </c>
      <c r="I52" s="862">
        <v>69</v>
      </c>
      <c r="J52" s="861">
        <v>0</v>
      </c>
      <c r="K52" s="861">
        <v>0</v>
      </c>
      <c r="L52" s="861">
        <v>0</v>
      </c>
      <c r="M52" s="861">
        <v>0</v>
      </c>
      <c r="N52" s="861">
        <v>0</v>
      </c>
      <c r="O52" s="389">
        <f>SUM(C52:N52)</f>
        <v>188</v>
      </c>
      <c r="P52" s="394">
        <f>SUM(D52:O52)</f>
        <v>376</v>
      </c>
      <c r="Q52" s="402" t="s">
        <v>672</v>
      </c>
    </row>
    <row r="53" spans="1:17" ht="30" customHeight="1">
      <c r="A53" s="357"/>
      <c r="B53" s="1094"/>
      <c r="C53" s="864">
        <v>0</v>
      </c>
      <c r="D53" s="864">
        <v>0</v>
      </c>
      <c r="E53" s="864">
        <v>0</v>
      </c>
      <c r="F53" s="864">
        <v>0</v>
      </c>
      <c r="G53" s="864">
        <v>19</v>
      </c>
      <c r="H53" s="865">
        <v>100</v>
      </c>
      <c r="I53" s="864">
        <v>69</v>
      </c>
      <c r="J53" s="864">
        <v>0</v>
      </c>
      <c r="K53" s="864">
        <v>0</v>
      </c>
      <c r="L53" s="864">
        <v>0</v>
      </c>
      <c r="M53" s="864">
        <v>0</v>
      </c>
      <c r="N53" s="864">
        <v>0</v>
      </c>
      <c r="O53" s="388">
        <f>SUM(C53:N53)</f>
        <v>188</v>
      </c>
      <c r="P53" s="392">
        <f>SUM(D53:O53)</f>
        <v>376</v>
      </c>
      <c r="Q53" s="365"/>
    </row>
    <row r="54" spans="1:17" ht="39.950000000000003" customHeight="1">
      <c r="A54" s="357"/>
      <c r="B54" s="1094"/>
      <c r="C54" s="381" t="s">
        <v>103</v>
      </c>
      <c r="D54" s="381" t="s">
        <v>103</v>
      </c>
      <c r="E54" s="381" t="s">
        <v>103</v>
      </c>
      <c r="F54" s="381" t="s">
        <v>103</v>
      </c>
      <c r="G54" s="843">
        <f>G52/G53*100</f>
        <v>100</v>
      </c>
      <c r="H54" s="844">
        <f>H52/H53*100</f>
        <v>100</v>
      </c>
      <c r="I54" s="844">
        <f>I52/I53*100</f>
        <v>100</v>
      </c>
      <c r="J54" s="866" t="s">
        <v>103</v>
      </c>
      <c r="K54" s="381" t="s">
        <v>103</v>
      </c>
      <c r="L54" s="381" t="s">
        <v>103</v>
      </c>
      <c r="M54" s="381" t="s">
        <v>103</v>
      </c>
      <c r="N54" s="381" t="s">
        <v>103</v>
      </c>
      <c r="O54" s="382">
        <f>O52/O53*100</f>
        <v>100</v>
      </c>
      <c r="P54" s="135">
        <f>P52/P53*100</f>
        <v>100</v>
      </c>
      <c r="Q54" s="365"/>
    </row>
    <row r="55" spans="1:17" ht="30" customHeight="1">
      <c r="A55" s="357"/>
      <c r="B55" s="1094"/>
      <c r="C55" s="867">
        <v>0</v>
      </c>
      <c r="D55" s="867">
        <v>0</v>
      </c>
      <c r="E55" s="867">
        <v>0</v>
      </c>
      <c r="F55" s="867">
        <v>0</v>
      </c>
      <c r="G55" s="868">
        <v>164</v>
      </c>
      <c r="H55" s="898"/>
      <c r="I55" s="898"/>
      <c r="J55" s="867">
        <v>0</v>
      </c>
      <c r="K55" s="867">
        <v>0</v>
      </c>
      <c r="L55" s="859">
        <v>0</v>
      </c>
      <c r="M55" s="859">
        <v>0</v>
      </c>
      <c r="N55" s="859">
        <v>0</v>
      </c>
      <c r="O55" s="387">
        <f>SUM(C55:N55)</f>
        <v>164</v>
      </c>
      <c r="P55" s="393">
        <f>SUM(D55:O55)</f>
        <v>328</v>
      </c>
      <c r="Q55" s="403" t="s">
        <v>331</v>
      </c>
    </row>
    <row r="56" spans="1:17" ht="30" customHeight="1">
      <c r="A56" s="357"/>
      <c r="B56" s="1094"/>
      <c r="C56" s="864">
        <v>0</v>
      </c>
      <c r="D56" s="864">
        <v>0</v>
      </c>
      <c r="E56" s="864">
        <v>0</v>
      </c>
      <c r="F56" s="864">
        <v>0</v>
      </c>
      <c r="G56" s="864">
        <v>164</v>
      </c>
      <c r="H56" s="899"/>
      <c r="I56" s="900"/>
      <c r="J56" s="864">
        <v>0</v>
      </c>
      <c r="K56" s="864">
        <v>0</v>
      </c>
      <c r="L56" s="388">
        <v>0</v>
      </c>
      <c r="M56" s="388">
        <v>0</v>
      </c>
      <c r="N56" s="388">
        <v>0</v>
      </c>
      <c r="O56" s="388">
        <f>SUM(C56:N56)</f>
        <v>164</v>
      </c>
      <c r="P56" s="392">
        <f>SUM(D56:O56)</f>
        <v>328</v>
      </c>
      <c r="Q56" s="365"/>
    </row>
    <row r="57" spans="1:17" ht="39.950000000000003" customHeight="1">
      <c r="A57" s="358"/>
      <c r="B57" s="1095"/>
      <c r="C57" s="371" t="s">
        <v>103</v>
      </c>
      <c r="D57" s="371" t="s">
        <v>103</v>
      </c>
      <c r="E57" s="371" t="s">
        <v>103</v>
      </c>
      <c r="F57" s="371" t="s">
        <v>103</v>
      </c>
      <c r="G57" s="383">
        <f>G55/G56*100</f>
        <v>100</v>
      </c>
      <c r="H57" s="873"/>
      <c r="I57" s="901"/>
      <c r="J57" s="869" t="s">
        <v>103</v>
      </c>
      <c r="K57" s="371" t="s">
        <v>103</v>
      </c>
      <c r="L57" s="371" t="s">
        <v>103</v>
      </c>
      <c r="M57" s="371" t="s">
        <v>103</v>
      </c>
      <c r="N57" s="371" t="s">
        <v>103</v>
      </c>
      <c r="O57" s="383">
        <f>O55/O56*100</f>
        <v>100</v>
      </c>
      <c r="P57" s="120">
        <f>P55/P56*100</f>
        <v>100</v>
      </c>
      <c r="Q57" s="365"/>
    </row>
    <row r="58" spans="1:17" ht="30" customHeight="1">
      <c r="A58" s="1091" t="s">
        <v>13</v>
      </c>
      <c r="B58" s="1093" t="s">
        <v>955</v>
      </c>
      <c r="C58" s="830">
        <v>104</v>
      </c>
      <c r="D58" s="830">
        <v>25</v>
      </c>
      <c r="E58" s="830">
        <v>22</v>
      </c>
      <c r="F58" s="830">
        <v>38</v>
      </c>
      <c r="G58" s="830">
        <v>153</v>
      </c>
      <c r="H58" s="831">
        <v>79</v>
      </c>
      <c r="I58" s="830">
        <v>91</v>
      </c>
      <c r="J58" s="830">
        <v>51</v>
      </c>
      <c r="K58" s="830">
        <v>53</v>
      </c>
      <c r="L58" s="830">
        <v>41</v>
      </c>
      <c r="M58" s="830">
        <v>108</v>
      </c>
      <c r="N58" s="830">
        <v>74</v>
      </c>
      <c r="O58" s="389">
        <f>SUM(C58:N58)</f>
        <v>839</v>
      </c>
      <c r="P58" s="404">
        <f>SUM(D58:O58)</f>
        <v>1574</v>
      </c>
      <c r="Q58" s="403" t="s">
        <v>672</v>
      </c>
    </row>
    <row r="59" spans="1:17" ht="30" customHeight="1">
      <c r="A59" s="1092"/>
      <c r="B59" s="1094"/>
      <c r="C59" s="832">
        <v>104</v>
      </c>
      <c r="D59" s="832">
        <v>25</v>
      </c>
      <c r="E59" s="832">
        <v>22</v>
      </c>
      <c r="F59" s="832">
        <v>41</v>
      </c>
      <c r="G59" s="832">
        <v>153</v>
      </c>
      <c r="H59" s="834">
        <v>79</v>
      </c>
      <c r="I59" s="832">
        <v>91</v>
      </c>
      <c r="J59" s="832">
        <v>51</v>
      </c>
      <c r="K59" s="832">
        <v>53</v>
      </c>
      <c r="L59" s="832">
        <v>41</v>
      </c>
      <c r="M59" s="908">
        <v>112</v>
      </c>
      <c r="N59" s="832">
        <v>74</v>
      </c>
      <c r="O59" s="388">
        <f>SUM(C59:N59)</f>
        <v>846</v>
      </c>
      <c r="P59" s="405">
        <f>SUM(D59:O59)</f>
        <v>1588</v>
      </c>
      <c r="Q59" s="365"/>
    </row>
    <row r="60" spans="1:17" ht="30" customHeight="1">
      <c r="A60" s="1092"/>
      <c r="B60" s="1094"/>
      <c r="C60" s="843">
        <f t="shared" ref="C60:P60" si="11">C58/C59*100</f>
        <v>100</v>
      </c>
      <c r="D60" s="843">
        <f t="shared" si="11"/>
        <v>100</v>
      </c>
      <c r="E60" s="843">
        <f t="shared" si="11"/>
        <v>100</v>
      </c>
      <c r="F60" s="843">
        <f t="shared" si="11"/>
        <v>92.682926829268297</v>
      </c>
      <c r="G60" s="843">
        <f t="shared" si="11"/>
        <v>100</v>
      </c>
      <c r="H60" s="844">
        <f t="shared" si="11"/>
        <v>100</v>
      </c>
      <c r="I60" s="843">
        <f t="shared" si="11"/>
        <v>100</v>
      </c>
      <c r="J60" s="843">
        <f t="shared" si="11"/>
        <v>100</v>
      </c>
      <c r="K60" s="843">
        <f t="shared" si="11"/>
        <v>100</v>
      </c>
      <c r="L60" s="843">
        <f t="shared" si="11"/>
        <v>100</v>
      </c>
      <c r="M60" s="843">
        <f t="shared" si="11"/>
        <v>96.428571428571431</v>
      </c>
      <c r="N60" s="843">
        <f t="shared" si="11"/>
        <v>100</v>
      </c>
      <c r="O60" s="382">
        <f t="shared" si="11"/>
        <v>99.172576832151307</v>
      </c>
      <c r="P60" s="406">
        <f t="shared" si="11"/>
        <v>99.118387909319893</v>
      </c>
      <c r="Q60" s="401"/>
    </row>
    <row r="61" spans="1:17" ht="30" customHeight="1">
      <c r="A61" s="1092"/>
      <c r="B61" s="1094"/>
      <c r="C61" s="845">
        <v>97</v>
      </c>
      <c r="D61" s="845">
        <v>27</v>
      </c>
      <c r="E61" s="845">
        <v>20</v>
      </c>
      <c r="F61" s="845">
        <v>41</v>
      </c>
      <c r="G61" s="845">
        <v>168</v>
      </c>
      <c r="H61" s="847">
        <v>82</v>
      </c>
      <c r="I61" s="845">
        <v>108</v>
      </c>
      <c r="J61" s="845">
        <v>57</v>
      </c>
      <c r="K61" s="845">
        <v>51</v>
      </c>
      <c r="L61" s="845">
        <v>44</v>
      </c>
      <c r="M61" s="845">
        <v>110</v>
      </c>
      <c r="N61" s="845">
        <v>55</v>
      </c>
      <c r="O61" s="387">
        <f>SUM(C61:N61)</f>
        <v>860</v>
      </c>
      <c r="P61" s="404">
        <f>SUM(D61:O61)</f>
        <v>1623</v>
      </c>
      <c r="Q61" s="403" t="s">
        <v>331</v>
      </c>
    </row>
    <row r="62" spans="1:17" ht="30" customHeight="1">
      <c r="A62" s="1092"/>
      <c r="B62" s="1094"/>
      <c r="C62" s="832">
        <v>97</v>
      </c>
      <c r="D62" s="832">
        <v>27</v>
      </c>
      <c r="E62" s="832">
        <v>20</v>
      </c>
      <c r="F62" s="832">
        <v>47</v>
      </c>
      <c r="G62" s="832">
        <v>168</v>
      </c>
      <c r="H62" s="834">
        <v>82</v>
      </c>
      <c r="I62" s="832">
        <v>108</v>
      </c>
      <c r="J62" s="832">
        <v>57</v>
      </c>
      <c r="K62" s="832">
        <v>51</v>
      </c>
      <c r="L62" s="832">
        <v>44</v>
      </c>
      <c r="M62" s="908">
        <v>113</v>
      </c>
      <c r="N62" s="832">
        <v>55</v>
      </c>
      <c r="O62" s="388">
        <f>SUM(C62:N62)</f>
        <v>869</v>
      </c>
      <c r="P62" s="405">
        <f>SUM(D62:O62)</f>
        <v>1641</v>
      </c>
      <c r="Q62" s="365"/>
    </row>
    <row r="63" spans="1:17" ht="30" customHeight="1">
      <c r="A63" s="1096"/>
      <c r="B63" s="1095"/>
      <c r="C63" s="383">
        <f t="shared" ref="C63:P63" si="12">C61/C62*100</f>
        <v>100</v>
      </c>
      <c r="D63" s="383">
        <f t="shared" si="12"/>
        <v>100</v>
      </c>
      <c r="E63" s="383">
        <f t="shared" si="12"/>
        <v>100</v>
      </c>
      <c r="F63" s="383">
        <f t="shared" si="12"/>
        <v>87.2340425531915</v>
      </c>
      <c r="G63" s="383">
        <f t="shared" si="12"/>
        <v>100</v>
      </c>
      <c r="H63" s="848">
        <f t="shared" si="12"/>
        <v>100</v>
      </c>
      <c r="I63" s="383">
        <f t="shared" si="12"/>
        <v>100</v>
      </c>
      <c r="J63" s="383">
        <f t="shared" si="12"/>
        <v>100</v>
      </c>
      <c r="K63" s="383">
        <f t="shared" si="12"/>
        <v>100</v>
      </c>
      <c r="L63" s="383">
        <f t="shared" si="12"/>
        <v>100</v>
      </c>
      <c r="M63" s="383">
        <f t="shared" si="12"/>
        <v>97.345132743362825</v>
      </c>
      <c r="N63" s="383">
        <f t="shared" si="12"/>
        <v>100</v>
      </c>
      <c r="O63" s="383">
        <f t="shared" si="12"/>
        <v>98.964326812428084</v>
      </c>
      <c r="P63" s="409">
        <f t="shared" si="12"/>
        <v>98.90310786106032</v>
      </c>
      <c r="Q63" s="401"/>
    </row>
    <row r="64" spans="1:17" ht="30" customHeight="1">
      <c r="A64" s="1092" t="s">
        <v>1138</v>
      </c>
      <c r="B64" s="1094" t="s">
        <v>619</v>
      </c>
      <c r="C64" s="870" t="s">
        <v>104</v>
      </c>
      <c r="D64" s="870" t="s">
        <v>104</v>
      </c>
      <c r="E64" s="870" t="s">
        <v>104</v>
      </c>
      <c r="F64" s="870" t="s">
        <v>104</v>
      </c>
      <c r="G64" s="870" t="s">
        <v>104</v>
      </c>
      <c r="H64" s="871" t="s">
        <v>104</v>
      </c>
      <c r="I64" s="870" t="s">
        <v>104</v>
      </c>
      <c r="J64" s="870" t="s">
        <v>104</v>
      </c>
      <c r="K64" s="870" t="s">
        <v>104</v>
      </c>
      <c r="L64" s="870" t="s">
        <v>104</v>
      </c>
      <c r="M64" s="870" t="s">
        <v>104</v>
      </c>
      <c r="N64" s="870" t="s">
        <v>104</v>
      </c>
      <c r="O64" s="384" t="s">
        <v>104</v>
      </c>
      <c r="P64" s="407" t="s">
        <v>104</v>
      </c>
      <c r="Q64" s="360" t="s">
        <v>672</v>
      </c>
    </row>
    <row r="65" spans="1:18" ht="30" customHeight="1">
      <c r="A65" s="1092"/>
      <c r="B65" s="1094"/>
      <c r="C65" s="963" t="s">
        <v>104</v>
      </c>
      <c r="D65" s="963" t="s">
        <v>104</v>
      </c>
      <c r="E65" s="963" t="s">
        <v>104</v>
      </c>
      <c r="F65" s="963" t="s">
        <v>104</v>
      </c>
      <c r="G65" s="963" t="s">
        <v>104</v>
      </c>
      <c r="H65" s="964" t="s">
        <v>104</v>
      </c>
      <c r="I65" s="963" t="s">
        <v>104</v>
      </c>
      <c r="J65" s="963" t="s">
        <v>104</v>
      </c>
      <c r="K65" s="963" t="s">
        <v>104</v>
      </c>
      <c r="L65" s="963" t="s">
        <v>104</v>
      </c>
      <c r="M65" s="963" t="s">
        <v>104</v>
      </c>
      <c r="N65" s="963" t="s">
        <v>104</v>
      </c>
      <c r="O65" s="965" t="s">
        <v>104</v>
      </c>
      <c r="P65" s="407" t="s">
        <v>104</v>
      </c>
      <c r="Q65" s="360" t="s">
        <v>331</v>
      </c>
    </row>
    <row r="66" spans="1:18" ht="30" customHeight="1">
      <c r="A66" s="1092"/>
      <c r="B66" s="1093" t="s">
        <v>1139</v>
      </c>
      <c r="C66" s="830">
        <v>104</v>
      </c>
      <c r="D66" s="851">
        <v>25</v>
      </c>
      <c r="E66" s="830">
        <v>22</v>
      </c>
      <c r="F66" s="830">
        <v>37</v>
      </c>
      <c r="G66" s="830">
        <v>153</v>
      </c>
      <c r="H66" s="831">
        <v>79</v>
      </c>
      <c r="I66" s="851">
        <v>91</v>
      </c>
      <c r="J66" s="830">
        <v>51</v>
      </c>
      <c r="K66" s="830">
        <v>53</v>
      </c>
      <c r="L66" s="830">
        <v>41</v>
      </c>
      <c r="M66" s="830">
        <v>146</v>
      </c>
      <c r="N66" s="830">
        <v>74</v>
      </c>
      <c r="O66" s="389">
        <f>SUM(C66:N66)</f>
        <v>876</v>
      </c>
      <c r="P66" s="408">
        <f>SUM(D66:O66)</f>
        <v>1648</v>
      </c>
      <c r="Q66" s="395" t="s">
        <v>672</v>
      </c>
    </row>
    <row r="67" spans="1:18" ht="30" customHeight="1">
      <c r="A67" s="1092"/>
      <c r="B67" s="1094"/>
      <c r="C67" s="832">
        <v>104</v>
      </c>
      <c r="D67" s="833">
        <v>25</v>
      </c>
      <c r="E67" s="832">
        <v>22</v>
      </c>
      <c r="F67" s="832">
        <v>41</v>
      </c>
      <c r="G67" s="832">
        <v>153</v>
      </c>
      <c r="H67" s="834">
        <v>79</v>
      </c>
      <c r="I67" s="833">
        <v>91</v>
      </c>
      <c r="J67" s="832">
        <v>51</v>
      </c>
      <c r="K67" s="832">
        <v>53</v>
      </c>
      <c r="L67" s="832">
        <v>41</v>
      </c>
      <c r="M67" s="908">
        <v>154</v>
      </c>
      <c r="N67" s="832">
        <v>74</v>
      </c>
      <c r="O67" s="388">
        <f>SUM(C67:N67)</f>
        <v>888</v>
      </c>
      <c r="P67" s="405">
        <f>SUM(D67:O67)</f>
        <v>1672</v>
      </c>
      <c r="Q67" s="360"/>
    </row>
    <row r="68" spans="1:18" ht="30" customHeight="1">
      <c r="A68" s="1092"/>
      <c r="B68" s="1094"/>
      <c r="C68" s="843">
        <f t="shared" ref="C68:P68" si="13">C66/C67*100</f>
        <v>100</v>
      </c>
      <c r="D68" s="872">
        <f t="shared" si="13"/>
        <v>100</v>
      </c>
      <c r="E68" s="843">
        <f t="shared" si="13"/>
        <v>100</v>
      </c>
      <c r="F68" s="843">
        <f t="shared" si="13"/>
        <v>90.243902439024396</v>
      </c>
      <c r="G68" s="843">
        <f t="shared" si="13"/>
        <v>100</v>
      </c>
      <c r="H68" s="844">
        <f t="shared" si="13"/>
        <v>100</v>
      </c>
      <c r="I68" s="872">
        <f t="shared" si="13"/>
        <v>100</v>
      </c>
      <c r="J68" s="843">
        <f t="shared" si="13"/>
        <v>100</v>
      </c>
      <c r="K68" s="843">
        <f t="shared" si="13"/>
        <v>100</v>
      </c>
      <c r="L68" s="843">
        <f t="shared" si="13"/>
        <v>100</v>
      </c>
      <c r="M68" s="843">
        <f t="shared" si="13"/>
        <v>94.805194805194802</v>
      </c>
      <c r="N68" s="843">
        <f t="shared" si="13"/>
        <v>100</v>
      </c>
      <c r="O68" s="382">
        <f t="shared" si="13"/>
        <v>98.648648648648646</v>
      </c>
      <c r="P68" s="406">
        <f t="shared" si="13"/>
        <v>98.564593301435409</v>
      </c>
      <c r="Q68" s="391"/>
    </row>
    <row r="69" spans="1:18" ht="30" customHeight="1">
      <c r="A69" s="1092"/>
      <c r="B69" s="1094"/>
      <c r="C69" s="845">
        <v>97</v>
      </c>
      <c r="D69" s="846">
        <v>27</v>
      </c>
      <c r="E69" s="845">
        <v>21</v>
      </c>
      <c r="F69" s="845">
        <v>40</v>
      </c>
      <c r="G69" s="845">
        <v>168</v>
      </c>
      <c r="H69" s="847">
        <v>82</v>
      </c>
      <c r="I69" s="846">
        <v>108</v>
      </c>
      <c r="J69" s="845">
        <v>57</v>
      </c>
      <c r="K69" s="845">
        <v>51</v>
      </c>
      <c r="L69" s="845">
        <v>44</v>
      </c>
      <c r="M69" s="845">
        <v>138</v>
      </c>
      <c r="N69" s="845">
        <v>55</v>
      </c>
      <c r="O69" s="387">
        <f>SUM(C69:N69)</f>
        <v>888</v>
      </c>
      <c r="P69" s="404">
        <f>SUM(D69:O69)</f>
        <v>1679</v>
      </c>
      <c r="Q69" s="395" t="s">
        <v>331</v>
      </c>
    </row>
    <row r="70" spans="1:18" ht="30" customHeight="1">
      <c r="A70" s="1092"/>
      <c r="B70" s="1094"/>
      <c r="C70" s="832">
        <v>97</v>
      </c>
      <c r="D70" s="833">
        <v>27</v>
      </c>
      <c r="E70" s="832">
        <v>21</v>
      </c>
      <c r="F70" s="832">
        <v>47</v>
      </c>
      <c r="G70" s="832">
        <v>168</v>
      </c>
      <c r="H70" s="834">
        <v>82</v>
      </c>
      <c r="I70" s="833">
        <v>108</v>
      </c>
      <c r="J70" s="832">
        <v>57</v>
      </c>
      <c r="K70" s="832">
        <v>51</v>
      </c>
      <c r="L70" s="832">
        <v>44</v>
      </c>
      <c r="M70" s="908">
        <v>142</v>
      </c>
      <c r="N70" s="832">
        <v>55</v>
      </c>
      <c r="O70" s="388">
        <f>SUM(C70:N70)</f>
        <v>899</v>
      </c>
      <c r="P70" s="405">
        <f>SUM(D70:O70)</f>
        <v>1701</v>
      </c>
      <c r="Q70" s="360"/>
    </row>
    <row r="71" spans="1:18" ht="30" customHeight="1">
      <c r="A71" s="1092"/>
      <c r="B71" s="1095"/>
      <c r="C71" s="383">
        <f t="shared" ref="C71:P71" si="14">C69/C70*100</f>
        <v>100</v>
      </c>
      <c r="D71" s="873">
        <f t="shared" si="14"/>
        <v>100</v>
      </c>
      <c r="E71" s="383">
        <f t="shared" si="14"/>
        <v>100</v>
      </c>
      <c r="F71" s="383">
        <f t="shared" si="14"/>
        <v>85.106382978723403</v>
      </c>
      <c r="G71" s="383">
        <f t="shared" si="14"/>
        <v>100</v>
      </c>
      <c r="H71" s="848">
        <f t="shared" si="14"/>
        <v>100</v>
      </c>
      <c r="I71" s="873">
        <f t="shared" si="14"/>
        <v>100</v>
      </c>
      <c r="J71" s="383">
        <f t="shared" si="14"/>
        <v>100</v>
      </c>
      <c r="K71" s="383">
        <f t="shared" si="14"/>
        <v>100</v>
      </c>
      <c r="L71" s="383">
        <f t="shared" si="14"/>
        <v>100</v>
      </c>
      <c r="M71" s="383">
        <f t="shared" si="14"/>
        <v>97.183098591549296</v>
      </c>
      <c r="N71" s="383">
        <f t="shared" si="14"/>
        <v>100</v>
      </c>
      <c r="O71" s="383">
        <f t="shared" si="14"/>
        <v>98.776418242491658</v>
      </c>
      <c r="P71" s="409">
        <f t="shared" si="14"/>
        <v>98.70664315108759</v>
      </c>
      <c r="Q71" s="391"/>
    </row>
    <row r="72" spans="1:18" ht="30" customHeight="1">
      <c r="A72" s="890"/>
      <c r="B72" s="1097" t="s">
        <v>1140</v>
      </c>
      <c r="C72" s="910" t="s">
        <v>956</v>
      </c>
      <c r="D72" s="909" t="s">
        <v>50</v>
      </c>
      <c r="E72" s="909" t="s">
        <v>50</v>
      </c>
      <c r="F72" s="910" t="s">
        <v>957</v>
      </c>
      <c r="G72" s="910" t="s">
        <v>958</v>
      </c>
      <c r="H72" s="910" t="s">
        <v>959</v>
      </c>
      <c r="I72" s="910" t="s">
        <v>960</v>
      </c>
      <c r="J72" s="910" t="s">
        <v>959</v>
      </c>
      <c r="K72" s="910" t="s">
        <v>961</v>
      </c>
      <c r="L72" s="910" t="s">
        <v>956</v>
      </c>
      <c r="M72" s="910"/>
      <c r="N72" s="910"/>
      <c r="O72" s="894">
        <f>O73-48</f>
        <v>91394</v>
      </c>
      <c r="P72" s="410">
        <f>SUM(D72:O72)</f>
        <v>91394</v>
      </c>
      <c r="Q72" s="360" t="s">
        <v>672</v>
      </c>
      <c r="R72" s="902">
        <f>R73-48</f>
        <v>91394</v>
      </c>
    </row>
    <row r="73" spans="1:18" ht="30" customHeight="1">
      <c r="A73" s="890"/>
      <c r="B73" s="1094"/>
      <c r="C73" s="832"/>
      <c r="D73" s="832"/>
      <c r="E73" s="832"/>
      <c r="F73" s="832"/>
      <c r="G73" s="832"/>
      <c r="H73" s="834"/>
      <c r="I73" s="832"/>
      <c r="J73" s="832"/>
      <c r="K73" s="832"/>
      <c r="L73" s="832"/>
      <c r="M73" s="832"/>
      <c r="N73" s="832"/>
      <c r="O73" s="895">
        <v>91442</v>
      </c>
      <c r="P73" s="411">
        <f>SUM(D73:O73)</f>
        <v>91442</v>
      </c>
      <c r="Q73" s="360"/>
      <c r="R73" s="903">
        <v>91442</v>
      </c>
    </row>
    <row r="74" spans="1:18" ht="30" customHeight="1">
      <c r="A74" s="890"/>
      <c r="B74" s="1094"/>
      <c r="C74" s="852"/>
      <c r="D74" s="852"/>
      <c r="E74" s="852"/>
      <c r="F74" s="852"/>
      <c r="G74" s="852"/>
      <c r="H74" s="853"/>
      <c r="I74" s="852"/>
      <c r="J74" s="852"/>
      <c r="K74" s="852"/>
      <c r="L74" s="852"/>
      <c r="M74" s="852"/>
      <c r="N74" s="852"/>
      <c r="O74" s="896">
        <f>O72/O73*100</f>
        <v>99.947507709805123</v>
      </c>
      <c r="P74" s="412">
        <f>P72/P73*100</f>
        <v>99.947507709805123</v>
      </c>
      <c r="Q74" s="360"/>
      <c r="R74" s="904">
        <f>R72/R73*100</f>
        <v>99.947507709805123</v>
      </c>
    </row>
    <row r="75" spans="1:18" ht="30" customHeight="1">
      <c r="A75" s="890"/>
      <c r="B75" s="1094"/>
      <c r="C75" s="910" t="s">
        <v>960</v>
      </c>
      <c r="D75" s="910" t="s">
        <v>957</v>
      </c>
      <c r="E75" s="910" t="s">
        <v>962</v>
      </c>
      <c r="F75" s="910" t="s">
        <v>957</v>
      </c>
      <c r="G75" s="910" t="s">
        <v>963</v>
      </c>
      <c r="H75" s="910" t="s">
        <v>959</v>
      </c>
      <c r="I75" s="910" t="s">
        <v>960</v>
      </c>
      <c r="J75" s="910" t="s">
        <v>964</v>
      </c>
      <c r="K75" s="910" t="s">
        <v>960</v>
      </c>
      <c r="L75" s="910" t="s">
        <v>960</v>
      </c>
      <c r="M75" s="857"/>
      <c r="N75" s="857"/>
      <c r="O75" s="894">
        <f>O76-29</f>
        <v>74246</v>
      </c>
      <c r="P75" s="410">
        <f>SUM(D75:O75)</f>
        <v>74246</v>
      </c>
      <c r="Q75" s="360" t="s">
        <v>331</v>
      </c>
      <c r="R75" s="902">
        <f>R76-29</f>
        <v>74246</v>
      </c>
    </row>
    <row r="76" spans="1:18" ht="30" customHeight="1">
      <c r="A76" s="890"/>
      <c r="B76" s="1094"/>
      <c r="C76" s="832"/>
      <c r="D76" s="832"/>
      <c r="E76" s="832"/>
      <c r="F76" s="832"/>
      <c r="G76" s="832"/>
      <c r="H76" s="834"/>
      <c r="I76" s="832"/>
      <c r="J76" s="832"/>
      <c r="K76" s="832"/>
      <c r="L76" s="832"/>
      <c r="M76" s="832"/>
      <c r="N76" s="832"/>
      <c r="O76" s="895">
        <v>74275</v>
      </c>
      <c r="P76" s="411">
        <f>SUM(D76:O76)</f>
        <v>74275</v>
      </c>
      <c r="Q76" s="360"/>
      <c r="R76" s="903">
        <v>74275</v>
      </c>
    </row>
    <row r="77" spans="1:18" ht="30" customHeight="1">
      <c r="A77" s="891"/>
      <c r="B77" s="1095"/>
      <c r="C77" s="378"/>
      <c r="D77" s="378"/>
      <c r="E77" s="378"/>
      <c r="F77" s="378"/>
      <c r="G77" s="378"/>
      <c r="H77" s="854"/>
      <c r="I77" s="378"/>
      <c r="J77" s="378"/>
      <c r="K77" s="378"/>
      <c r="L77" s="378"/>
      <c r="M77" s="378"/>
      <c r="N77" s="378"/>
      <c r="O77" s="896">
        <f>O75/O76*100</f>
        <v>99.96095590710199</v>
      </c>
      <c r="P77" s="413">
        <f>P75/P76*100</f>
        <v>99.96095590710199</v>
      </c>
      <c r="Q77" s="360"/>
      <c r="R77" s="904">
        <f>R75/R76*100</f>
        <v>99.96095590710199</v>
      </c>
    </row>
    <row r="78" spans="1:18" ht="30" customHeight="1">
      <c r="A78" s="1091" t="s">
        <v>14</v>
      </c>
      <c r="B78" s="1093" t="s">
        <v>628</v>
      </c>
      <c r="C78" s="830">
        <v>75</v>
      </c>
      <c r="D78" s="830">
        <v>23</v>
      </c>
      <c r="E78" s="830">
        <v>13</v>
      </c>
      <c r="F78" s="830">
        <v>43</v>
      </c>
      <c r="G78" s="830">
        <v>151</v>
      </c>
      <c r="H78" s="831">
        <v>69</v>
      </c>
      <c r="I78" s="830">
        <v>35</v>
      </c>
      <c r="J78" s="830">
        <v>53</v>
      </c>
      <c r="K78" s="830">
        <v>61</v>
      </c>
      <c r="L78" s="830">
        <v>59</v>
      </c>
      <c r="M78" s="830">
        <v>213</v>
      </c>
      <c r="N78" s="830">
        <v>53</v>
      </c>
      <c r="O78" s="374">
        <f>SUM(C78:N78)</f>
        <v>848</v>
      </c>
      <c r="P78" s="119">
        <f>SUM(D78:O78)</f>
        <v>1621</v>
      </c>
      <c r="Q78" s="360" t="s">
        <v>672</v>
      </c>
    </row>
    <row r="79" spans="1:18" ht="27.95" customHeight="1">
      <c r="A79" s="1092"/>
      <c r="B79" s="1094"/>
      <c r="C79" s="832">
        <v>75</v>
      </c>
      <c r="D79" s="832">
        <v>23</v>
      </c>
      <c r="E79" s="832">
        <v>13</v>
      </c>
      <c r="F79" s="832">
        <v>43</v>
      </c>
      <c r="G79" s="832">
        <v>151</v>
      </c>
      <c r="H79" s="834">
        <v>69</v>
      </c>
      <c r="I79" s="832">
        <v>37</v>
      </c>
      <c r="J79" s="832">
        <v>53</v>
      </c>
      <c r="K79" s="832">
        <v>61</v>
      </c>
      <c r="L79" s="832">
        <v>59</v>
      </c>
      <c r="M79" s="832">
        <v>213</v>
      </c>
      <c r="N79" s="832">
        <v>53</v>
      </c>
      <c r="O79" s="370">
        <f>SUM(C79:N79)</f>
        <v>850</v>
      </c>
      <c r="P79" s="113">
        <f>SUM(D79:O79)</f>
        <v>1625</v>
      </c>
      <c r="Q79" s="360"/>
    </row>
    <row r="80" spans="1:18" ht="27.95" customHeight="1">
      <c r="A80" s="1092"/>
      <c r="B80" s="1094"/>
      <c r="C80" s="852">
        <f t="shared" ref="C80:P80" si="15">C78/C79*100</f>
        <v>100</v>
      </c>
      <c r="D80" s="852">
        <f t="shared" si="15"/>
        <v>100</v>
      </c>
      <c r="E80" s="852">
        <f t="shared" si="15"/>
        <v>100</v>
      </c>
      <c r="F80" s="852">
        <f t="shared" si="15"/>
        <v>100</v>
      </c>
      <c r="G80" s="852">
        <f t="shared" si="15"/>
        <v>100</v>
      </c>
      <c r="H80" s="853">
        <f t="shared" si="15"/>
        <v>100</v>
      </c>
      <c r="I80" s="852">
        <f t="shared" si="15"/>
        <v>94.594594594594597</v>
      </c>
      <c r="J80" s="852">
        <f t="shared" si="15"/>
        <v>100</v>
      </c>
      <c r="K80" s="852">
        <f t="shared" si="15"/>
        <v>100</v>
      </c>
      <c r="L80" s="852">
        <f t="shared" si="15"/>
        <v>100</v>
      </c>
      <c r="M80" s="852">
        <f t="shared" si="15"/>
        <v>100</v>
      </c>
      <c r="N80" s="852">
        <f t="shared" si="15"/>
        <v>100</v>
      </c>
      <c r="O80" s="377">
        <f t="shared" si="15"/>
        <v>99.764705882352942</v>
      </c>
      <c r="P80" s="133">
        <f t="shared" si="15"/>
        <v>99.753846153846155</v>
      </c>
      <c r="Q80" s="360"/>
    </row>
    <row r="81" spans="1:17" ht="27.95" customHeight="1">
      <c r="A81" s="1092"/>
      <c r="B81" s="1094"/>
      <c r="C81" s="874">
        <v>79</v>
      </c>
      <c r="D81" s="874">
        <v>30</v>
      </c>
      <c r="E81" s="874">
        <v>19</v>
      </c>
      <c r="F81" s="874">
        <v>43</v>
      </c>
      <c r="G81" s="874">
        <v>150</v>
      </c>
      <c r="H81" s="875">
        <v>74</v>
      </c>
      <c r="I81" s="874">
        <v>40</v>
      </c>
      <c r="J81" s="874">
        <v>44</v>
      </c>
      <c r="K81" s="874">
        <v>55</v>
      </c>
      <c r="L81" s="874">
        <v>60</v>
      </c>
      <c r="M81" s="874">
        <v>185</v>
      </c>
      <c r="N81" s="874">
        <v>38</v>
      </c>
      <c r="O81" s="369">
        <f>SUM(C81:N81)</f>
        <v>817</v>
      </c>
      <c r="P81" s="114">
        <f>SUM(D81:O81)</f>
        <v>1555</v>
      </c>
      <c r="Q81" s="360" t="s">
        <v>331</v>
      </c>
    </row>
    <row r="82" spans="1:17" ht="27.95" customHeight="1">
      <c r="A82" s="1092"/>
      <c r="B82" s="1094"/>
      <c r="C82" s="832">
        <v>79</v>
      </c>
      <c r="D82" s="832">
        <v>30</v>
      </c>
      <c r="E82" s="832">
        <v>19</v>
      </c>
      <c r="F82" s="832">
        <v>43</v>
      </c>
      <c r="G82" s="832">
        <v>150</v>
      </c>
      <c r="H82" s="834">
        <v>74</v>
      </c>
      <c r="I82" s="832">
        <v>40</v>
      </c>
      <c r="J82" s="832">
        <v>44</v>
      </c>
      <c r="K82" s="832">
        <v>56</v>
      </c>
      <c r="L82" s="832">
        <v>60</v>
      </c>
      <c r="M82" s="832">
        <v>185</v>
      </c>
      <c r="N82" s="832">
        <v>38</v>
      </c>
      <c r="O82" s="370">
        <f>SUM(C82:N82)</f>
        <v>818</v>
      </c>
      <c r="P82" s="113">
        <f>SUM(D82:O82)</f>
        <v>1557</v>
      </c>
      <c r="Q82" s="360"/>
    </row>
    <row r="83" spans="1:17" ht="27.95" customHeight="1">
      <c r="A83" s="1092"/>
      <c r="B83" s="1095"/>
      <c r="C83" s="378">
        <f t="shared" ref="C83:P83" si="16">C81/C82*100</f>
        <v>100</v>
      </c>
      <c r="D83" s="378">
        <f t="shared" si="16"/>
        <v>100</v>
      </c>
      <c r="E83" s="378">
        <f t="shared" si="16"/>
        <v>100</v>
      </c>
      <c r="F83" s="378">
        <f t="shared" si="16"/>
        <v>100</v>
      </c>
      <c r="G83" s="378">
        <f t="shared" si="16"/>
        <v>100</v>
      </c>
      <c r="H83" s="854">
        <f t="shared" si="16"/>
        <v>100</v>
      </c>
      <c r="I83" s="378">
        <f t="shared" si="16"/>
        <v>100</v>
      </c>
      <c r="J83" s="378">
        <f t="shared" si="16"/>
        <v>100</v>
      </c>
      <c r="K83" s="378">
        <f>K81/K82*100</f>
        <v>98.214285714285708</v>
      </c>
      <c r="L83" s="378">
        <f t="shared" si="16"/>
        <v>100</v>
      </c>
      <c r="M83" s="378">
        <f t="shared" si="16"/>
        <v>100</v>
      </c>
      <c r="N83" s="378">
        <f t="shared" si="16"/>
        <v>100</v>
      </c>
      <c r="O83" s="378">
        <f t="shared" si="16"/>
        <v>99.877750611246938</v>
      </c>
      <c r="P83" s="118">
        <f t="shared" si="16"/>
        <v>99.871547848426459</v>
      </c>
      <c r="Q83" s="360"/>
    </row>
    <row r="84" spans="1:17" ht="27.95" customHeight="1">
      <c r="A84" s="773"/>
      <c r="B84" s="1093" t="s">
        <v>629</v>
      </c>
      <c r="C84" s="836">
        <v>4</v>
      </c>
      <c r="D84" s="836">
        <v>0</v>
      </c>
      <c r="E84" s="836">
        <v>2</v>
      </c>
      <c r="F84" s="836">
        <v>2</v>
      </c>
      <c r="G84" s="836">
        <v>4</v>
      </c>
      <c r="H84" s="837">
        <v>0</v>
      </c>
      <c r="I84" s="836">
        <v>6</v>
      </c>
      <c r="J84" s="836">
        <v>2</v>
      </c>
      <c r="K84" s="836">
        <v>3</v>
      </c>
      <c r="L84" s="836">
        <v>1</v>
      </c>
      <c r="M84" s="836">
        <v>3</v>
      </c>
      <c r="N84" s="836">
        <v>0</v>
      </c>
      <c r="O84" s="369">
        <f>SUM(C84:N84)</f>
        <v>27</v>
      </c>
      <c r="P84" s="114">
        <f>SUM(D84:O84)</f>
        <v>50</v>
      </c>
      <c r="Q84" s="360" t="s">
        <v>672</v>
      </c>
    </row>
    <row r="85" spans="1:17" ht="27.95" customHeight="1">
      <c r="A85" s="773"/>
      <c r="B85" s="1094"/>
      <c r="C85" s="832">
        <v>75</v>
      </c>
      <c r="D85" s="832">
        <v>23</v>
      </c>
      <c r="E85" s="832">
        <v>13</v>
      </c>
      <c r="F85" s="832">
        <v>43</v>
      </c>
      <c r="G85" s="832">
        <v>151</v>
      </c>
      <c r="H85" s="834">
        <v>69</v>
      </c>
      <c r="I85" s="832">
        <v>37</v>
      </c>
      <c r="J85" s="832">
        <v>53</v>
      </c>
      <c r="K85" s="832">
        <v>61</v>
      </c>
      <c r="L85" s="832">
        <v>59</v>
      </c>
      <c r="M85" s="832">
        <v>213</v>
      </c>
      <c r="N85" s="832">
        <v>53</v>
      </c>
      <c r="O85" s="370">
        <f>SUM(C85:N85)</f>
        <v>850</v>
      </c>
      <c r="P85" s="113">
        <f>SUM(D85:O85)</f>
        <v>1625</v>
      </c>
      <c r="Q85" s="360"/>
    </row>
    <row r="86" spans="1:17" ht="27.95" customHeight="1">
      <c r="A86" s="773"/>
      <c r="B86" s="1094"/>
      <c r="C86" s="852">
        <f t="shared" ref="C86:P86" si="17">C84/C85*100</f>
        <v>5.3333333333333339</v>
      </c>
      <c r="D86" s="852">
        <f t="shared" si="17"/>
        <v>0</v>
      </c>
      <c r="E86" s="852">
        <f t="shared" si="17"/>
        <v>15.384615384615385</v>
      </c>
      <c r="F86" s="852">
        <f t="shared" si="17"/>
        <v>4.6511627906976747</v>
      </c>
      <c r="G86" s="852">
        <f t="shared" si="17"/>
        <v>2.6490066225165565</v>
      </c>
      <c r="H86" s="853">
        <f t="shared" si="17"/>
        <v>0</v>
      </c>
      <c r="I86" s="852">
        <f t="shared" si="17"/>
        <v>16.216216216216218</v>
      </c>
      <c r="J86" s="852">
        <f t="shared" si="17"/>
        <v>3.7735849056603774</v>
      </c>
      <c r="K86" s="852">
        <f t="shared" si="17"/>
        <v>4.918032786885246</v>
      </c>
      <c r="L86" s="852">
        <f t="shared" si="17"/>
        <v>1.6949152542372881</v>
      </c>
      <c r="M86" s="852">
        <f t="shared" si="17"/>
        <v>1.4084507042253522</v>
      </c>
      <c r="N86" s="852">
        <f t="shared" si="17"/>
        <v>0</v>
      </c>
      <c r="O86" s="377">
        <f t="shared" si="17"/>
        <v>3.1764705882352939</v>
      </c>
      <c r="P86" s="133">
        <f t="shared" si="17"/>
        <v>3.0769230769230771</v>
      </c>
      <c r="Q86" s="360"/>
    </row>
    <row r="87" spans="1:17" ht="27.95" customHeight="1">
      <c r="A87" s="773"/>
      <c r="B87" s="1094"/>
      <c r="C87" s="874">
        <v>4</v>
      </c>
      <c r="D87" s="874">
        <v>0</v>
      </c>
      <c r="E87" s="874">
        <v>1</v>
      </c>
      <c r="F87" s="874">
        <v>2</v>
      </c>
      <c r="G87" s="874">
        <v>3</v>
      </c>
      <c r="H87" s="875">
        <v>2</v>
      </c>
      <c r="I87" s="874">
        <v>2</v>
      </c>
      <c r="J87" s="874">
        <v>1</v>
      </c>
      <c r="K87" s="874">
        <v>3</v>
      </c>
      <c r="L87" s="874">
        <v>1</v>
      </c>
      <c r="M87" s="874">
        <v>1</v>
      </c>
      <c r="N87" s="874">
        <v>1</v>
      </c>
      <c r="O87" s="369">
        <f>SUM(C87:N87)</f>
        <v>21</v>
      </c>
      <c r="P87" s="114">
        <f>SUM(D87:O87)</f>
        <v>38</v>
      </c>
      <c r="Q87" s="360" t="s">
        <v>331</v>
      </c>
    </row>
    <row r="88" spans="1:17" ht="27.95" customHeight="1">
      <c r="A88" s="773"/>
      <c r="B88" s="1094"/>
      <c r="C88" s="832">
        <v>79</v>
      </c>
      <c r="D88" s="832">
        <v>30</v>
      </c>
      <c r="E88" s="832">
        <v>19</v>
      </c>
      <c r="F88" s="832">
        <v>43</v>
      </c>
      <c r="G88" s="832">
        <v>150</v>
      </c>
      <c r="H88" s="834">
        <v>74</v>
      </c>
      <c r="I88" s="832">
        <v>40</v>
      </c>
      <c r="J88" s="832">
        <v>44</v>
      </c>
      <c r="K88" s="832">
        <v>56</v>
      </c>
      <c r="L88" s="832">
        <v>60</v>
      </c>
      <c r="M88" s="832">
        <v>185</v>
      </c>
      <c r="N88" s="832">
        <v>38</v>
      </c>
      <c r="O88" s="370">
        <f>SUM(C88:N88)</f>
        <v>818</v>
      </c>
      <c r="P88" s="113">
        <f>SUM(D88:O88)</f>
        <v>1557</v>
      </c>
      <c r="Q88" s="360"/>
    </row>
    <row r="89" spans="1:17" ht="27.95" customHeight="1">
      <c r="A89" s="773"/>
      <c r="B89" s="1095"/>
      <c r="C89" s="378">
        <f t="shared" ref="C89:P89" si="18">C87/C88*100</f>
        <v>5.0632911392405067</v>
      </c>
      <c r="D89" s="378">
        <f t="shared" si="18"/>
        <v>0</v>
      </c>
      <c r="E89" s="378">
        <f t="shared" si="18"/>
        <v>5.2631578947368416</v>
      </c>
      <c r="F89" s="378">
        <f t="shared" si="18"/>
        <v>4.6511627906976747</v>
      </c>
      <c r="G89" s="378">
        <f t="shared" si="18"/>
        <v>2</v>
      </c>
      <c r="H89" s="854">
        <f t="shared" si="18"/>
        <v>2.7027027027027026</v>
      </c>
      <c r="I89" s="378">
        <f t="shared" si="18"/>
        <v>5</v>
      </c>
      <c r="J89" s="378">
        <f t="shared" si="18"/>
        <v>2.2727272727272729</v>
      </c>
      <c r="K89" s="378">
        <f t="shared" si="18"/>
        <v>5.3571428571428568</v>
      </c>
      <c r="L89" s="378">
        <f t="shared" si="18"/>
        <v>1.6666666666666667</v>
      </c>
      <c r="M89" s="378">
        <f t="shared" si="18"/>
        <v>0.54054054054054057</v>
      </c>
      <c r="N89" s="378">
        <f t="shared" si="18"/>
        <v>2.6315789473684208</v>
      </c>
      <c r="O89" s="378">
        <f t="shared" si="18"/>
        <v>2.5672371638141809</v>
      </c>
      <c r="P89" s="118">
        <f t="shared" si="18"/>
        <v>2.440590879897238</v>
      </c>
      <c r="Q89" s="360"/>
    </row>
    <row r="90" spans="1:17" ht="45.75" customHeight="1">
      <c r="A90" s="773"/>
      <c r="B90" s="1093" t="s">
        <v>1141</v>
      </c>
      <c r="C90" s="876">
        <v>4.28</v>
      </c>
      <c r="D90" s="876">
        <v>4.29</v>
      </c>
      <c r="E90" s="876">
        <v>4.05</v>
      </c>
      <c r="F90" s="876">
        <v>4.1900000000000004</v>
      </c>
      <c r="G90" s="876">
        <v>4.28</v>
      </c>
      <c r="H90" s="877">
        <v>4.32</v>
      </c>
      <c r="I90" s="876">
        <v>4.24</v>
      </c>
      <c r="J90" s="876">
        <v>4.24</v>
      </c>
      <c r="K90" s="876">
        <v>4.3600000000000003</v>
      </c>
      <c r="L90" s="876">
        <v>4.3099999999999996</v>
      </c>
      <c r="M90" s="876">
        <v>4.41</v>
      </c>
      <c r="N90" s="876">
        <v>4.5199999999999996</v>
      </c>
      <c r="O90" s="607"/>
      <c r="P90" s="117">
        <f>AVERAGE(D90:O90)</f>
        <v>4.2918181818181829</v>
      </c>
      <c r="Q90" s="360" t="s">
        <v>672</v>
      </c>
    </row>
    <row r="91" spans="1:17" ht="50.25" customHeight="1">
      <c r="A91" s="773"/>
      <c r="B91" s="1095"/>
      <c r="C91" s="878">
        <v>4.28</v>
      </c>
      <c r="D91" s="878">
        <v>4.3</v>
      </c>
      <c r="E91" s="878">
        <v>4.26</v>
      </c>
      <c r="F91" s="878">
        <v>4.29</v>
      </c>
      <c r="G91" s="878">
        <v>4.33</v>
      </c>
      <c r="H91" s="879">
        <v>4.2300000000000004</v>
      </c>
      <c r="I91" s="878">
        <v>4.28</v>
      </c>
      <c r="J91" s="878">
        <v>4.32</v>
      </c>
      <c r="K91" s="878">
        <v>4.3600000000000003</v>
      </c>
      <c r="L91" s="878">
        <v>4.3600000000000003</v>
      </c>
      <c r="M91" s="878">
        <v>4.37</v>
      </c>
      <c r="N91" s="878">
        <v>4.5</v>
      </c>
      <c r="O91" s="608"/>
      <c r="P91" s="137">
        <f>AVERAGE(D91:O91)</f>
        <v>4.3272727272727272</v>
      </c>
      <c r="Q91" s="360" t="s">
        <v>331</v>
      </c>
    </row>
    <row r="92" spans="1:17" ht="30" customHeight="1">
      <c r="A92" s="773"/>
      <c r="B92" s="1094" t="s">
        <v>630</v>
      </c>
      <c r="C92" s="370">
        <v>0</v>
      </c>
      <c r="D92" s="370">
        <v>0</v>
      </c>
      <c r="E92" s="370">
        <v>0</v>
      </c>
      <c r="F92" s="370">
        <v>0</v>
      </c>
      <c r="G92" s="370">
        <v>0</v>
      </c>
      <c r="H92" s="880">
        <v>0</v>
      </c>
      <c r="I92" s="370">
        <v>2</v>
      </c>
      <c r="J92" s="370">
        <v>0</v>
      </c>
      <c r="K92" s="370">
        <v>0</v>
      </c>
      <c r="L92" s="370">
        <v>0</v>
      </c>
      <c r="M92" s="370">
        <v>0</v>
      </c>
      <c r="N92" s="370">
        <v>0</v>
      </c>
      <c r="O92" s="606">
        <f>SUM(C92:N92)</f>
        <v>2</v>
      </c>
      <c r="P92" s="130"/>
      <c r="Q92" s="360" t="s">
        <v>672</v>
      </c>
    </row>
    <row r="93" spans="1:17" ht="48" customHeight="1">
      <c r="A93" s="776"/>
      <c r="B93" s="1095"/>
      <c r="C93" s="368">
        <v>0</v>
      </c>
      <c r="D93" s="368">
        <v>0</v>
      </c>
      <c r="E93" s="368">
        <v>0</v>
      </c>
      <c r="F93" s="368">
        <v>0</v>
      </c>
      <c r="G93" s="368">
        <v>0</v>
      </c>
      <c r="H93" s="881">
        <v>0</v>
      </c>
      <c r="I93" s="368">
        <v>0</v>
      </c>
      <c r="J93" s="368">
        <v>0</v>
      </c>
      <c r="K93" s="368">
        <v>1</v>
      </c>
      <c r="L93" s="368">
        <v>0</v>
      </c>
      <c r="M93" s="368">
        <v>0</v>
      </c>
      <c r="N93" s="368">
        <v>0</v>
      </c>
      <c r="O93" s="373">
        <f>SUM(C93:N93)</f>
        <v>1</v>
      </c>
      <c r="P93" s="359"/>
      <c r="Q93" s="360" t="s">
        <v>331</v>
      </c>
    </row>
    <row r="94" spans="1:17" ht="79.5" customHeight="1">
      <c r="A94" s="1091" t="s">
        <v>15</v>
      </c>
      <c r="B94" s="414" t="s">
        <v>411</v>
      </c>
      <c r="C94" s="905" t="s">
        <v>707</v>
      </c>
      <c r="D94" s="122"/>
      <c r="E94" s="122"/>
      <c r="F94" s="122"/>
      <c r="G94" s="122"/>
      <c r="H94" s="813"/>
      <c r="I94" s="122"/>
      <c r="J94" s="122"/>
      <c r="K94" s="122"/>
      <c r="L94" s="122"/>
      <c r="M94" s="122"/>
      <c r="N94" s="122"/>
      <c r="O94" s="122"/>
      <c r="P94" s="110" t="s">
        <v>707</v>
      </c>
      <c r="Q94" s="360"/>
    </row>
    <row r="95" spans="1:17" ht="43.5" customHeight="1">
      <c r="A95" s="1092"/>
      <c r="B95" s="125" t="s">
        <v>631</v>
      </c>
      <c r="C95" s="882"/>
      <c r="D95" s="882">
        <v>2</v>
      </c>
      <c r="E95" s="882"/>
      <c r="F95" s="882">
        <v>2</v>
      </c>
      <c r="G95" s="882">
        <v>1</v>
      </c>
      <c r="H95" s="883"/>
      <c r="I95" s="882">
        <v>2</v>
      </c>
      <c r="J95" s="882"/>
      <c r="K95" s="882">
        <v>1</v>
      </c>
      <c r="L95" s="882"/>
      <c r="M95" s="882">
        <v>2</v>
      </c>
      <c r="N95" s="882">
        <v>2</v>
      </c>
      <c r="O95" s="386">
        <f>SUM(C95:N95)</f>
        <v>12</v>
      </c>
      <c r="P95" s="138"/>
      <c r="Q95" s="360"/>
    </row>
    <row r="96" spans="1:17" ht="80.25" customHeight="1">
      <c r="A96" s="1092"/>
      <c r="B96" s="140" t="s">
        <v>632</v>
      </c>
      <c r="C96" s="884"/>
      <c r="D96" s="884">
        <v>2</v>
      </c>
      <c r="E96" s="884"/>
      <c r="F96" s="884">
        <v>2</v>
      </c>
      <c r="G96" s="884">
        <v>1</v>
      </c>
      <c r="H96" s="881"/>
      <c r="I96" s="884">
        <v>2</v>
      </c>
      <c r="J96" s="884"/>
      <c r="K96" s="884">
        <v>1</v>
      </c>
      <c r="L96" s="884"/>
      <c r="M96" s="884">
        <v>2</v>
      </c>
      <c r="N96" s="884">
        <v>2</v>
      </c>
      <c r="O96" s="385">
        <f>SUM(C96:N96)</f>
        <v>12</v>
      </c>
      <c r="P96" s="139"/>
      <c r="Q96" s="360"/>
    </row>
    <row r="97" spans="1:17" ht="57.75" customHeight="1">
      <c r="A97" s="773"/>
      <c r="B97" s="40" t="s">
        <v>633</v>
      </c>
      <c r="C97" s="122"/>
      <c r="D97" s="122"/>
      <c r="E97" s="122"/>
      <c r="F97" s="122"/>
      <c r="G97" s="122"/>
      <c r="H97" s="813"/>
      <c r="I97" s="122"/>
      <c r="J97" s="122"/>
      <c r="K97" s="122"/>
      <c r="L97" s="122"/>
      <c r="M97" s="122"/>
      <c r="N97" s="122"/>
      <c r="O97" s="122"/>
      <c r="P97" s="110" t="s">
        <v>707</v>
      </c>
      <c r="Q97" s="360"/>
    </row>
    <row r="98" spans="1:17" ht="81" customHeight="1">
      <c r="A98" s="773"/>
      <c r="B98" s="419" t="s">
        <v>302</v>
      </c>
      <c r="C98" s="885"/>
      <c r="D98" s="885">
        <v>2</v>
      </c>
      <c r="E98" s="885">
        <v>2</v>
      </c>
      <c r="F98" s="885">
        <v>3</v>
      </c>
      <c r="G98" s="885">
        <v>1</v>
      </c>
      <c r="H98" s="886"/>
      <c r="I98" s="885">
        <v>5</v>
      </c>
      <c r="J98" s="885">
        <v>1</v>
      </c>
      <c r="K98" s="885">
        <v>3</v>
      </c>
      <c r="L98" s="885"/>
      <c r="M98" s="885">
        <v>6</v>
      </c>
      <c r="N98" s="885">
        <v>6</v>
      </c>
      <c r="O98" s="420">
        <f>SUM(C98:N98)</f>
        <v>29</v>
      </c>
      <c r="P98" s="138"/>
      <c r="Q98" s="360"/>
    </row>
    <row r="99" spans="1:17" ht="57.75" customHeight="1">
      <c r="A99" s="776"/>
      <c r="B99" s="421" t="s">
        <v>465</v>
      </c>
      <c r="C99" s="884"/>
      <c r="D99" s="884">
        <v>2</v>
      </c>
      <c r="E99" s="884"/>
      <c r="F99" s="884">
        <v>2</v>
      </c>
      <c r="G99" s="884">
        <v>1</v>
      </c>
      <c r="H99" s="881"/>
      <c r="I99" s="884">
        <v>2</v>
      </c>
      <c r="J99" s="884"/>
      <c r="K99" s="884">
        <v>1</v>
      </c>
      <c r="L99" s="884"/>
      <c r="M99" s="884">
        <v>2</v>
      </c>
      <c r="N99" s="884">
        <v>2</v>
      </c>
      <c r="O99" s="415">
        <f>SUM(C99:N99)</f>
        <v>12</v>
      </c>
      <c r="P99" s="129"/>
      <c r="Q99" s="360"/>
    </row>
    <row r="100" spans="1:17" ht="285" customHeight="1">
      <c r="A100" s="892"/>
      <c r="B100" s="911" t="s">
        <v>965</v>
      </c>
      <c r="C100" s="914"/>
      <c r="D100" s="914"/>
      <c r="E100" s="914" t="s">
        <v>966</v>
      </c>
      <c r="F100" s="914" t="s">
        <v>968</v>
      </c>
      <c r="G100" s="914"/>
      <c r="H100" s="915"/>
      <c r="I100" s="914" t="s">
        <v>971</v>
      </c>
      <c r="J100" s="914" t="s">
        <v>967</v>
      </c>
      <c r="K100" s="914" t="s">
        <v>973</v>
      </c>
      <c r="L100" s="914"/>
      <c r="M100" s="914" t="s">
        <v>972</v>
      </c>
      <c r="N100" s="914" t="s">
        <v>969</v>
      </c>
      <c r="O100" s="912" t="s">
        <v>970</v>
      </c>
      <c r="P100" s="130"/>
      <c r="Q100" s="360"/>
    </row>
    <row r="101" spans="1:17" ht="74.25" customHeight="1">
      <c r="A101" s="776"/>
      <c r="B101" s="416" t="s">
        <v>653</v>
      </c>
      <c r="C101" s="417"/>
      <c r="D101" s="417"/>
      <c r="E101" s="417"/>
      <c r="F101" s="887"/>
      <c r="G101" s="417"/>
      <c r="H101" s="888"/>
      <c r="I101" s="417"/>
      <c r="J101" s="417"/>
      <c r="K101" s="887"/>
      <c r="L101" s="417"/>
      <c r="M101" s="417"/>
      <c r="N101" s="887"/>
      <c r="O101" s="418"/>
      <c r="P101" s="396"/>
      <c r="Q101" s="397"/>
    </row>
  </sheetData>
  <mergeCells count="30">
    <mergeCell ref="B20:B21"/>
    <mergeCell ref="A1:O1"/>
    <mergeCell ref="B8:B13"/>
    <mergeCell ref="C3:N3"/>
    <mergeCell ref="O3:O4"/>
    <mergeCell ref="B14:B19"/>
    <mergeCell ref="B22:B27"/>
    <mergeCell ref="B28:B29"/>
    <mergeCell ref="B30:B35"/>
    <mergeCell ref="B38:B39"/>
    <mergeCell ref="B40:B45"/>
    <mergeCell ref="A40:A45"/>
    <mergeCell ref="A30:A35"/>
    <mergeCell ref="B36:B37"/>
    <mergeCell ref="A36:A39"/>
    <mergeCell ref="A46:A51"/>
    <mergeCell ref="B46:B48"/>
    <mergeCell ref="B52:B57"/>
    <mergeCell ref="A58:A63"/>
    <mergeCell ref="B58:B63"/>
    <mergeCell ref="B72:B77"/>
    <mergeCell ref="A64:A71"/>
    <mergeCell ref="B64:B65"/>
    <mergeCell ref="B66:B71"/>
    <mergeCell ref="A78:A83"/>
    <mergeCell ref="A94:A96"/>
    <mergeCell ref="B78:B83"/>
    <mergeCell ref="B84:B89"/>
    <mergeCell ref="B90:B91"/>
    <mergeCell ref="B92:B93"/>
  </mergeCells>
  <phoneticPr fontId="5" type="noConversion"/>
  <pageMargins left="0.74803149606299213" right="0.35433070866141736" top="0.59055118110236227" bottom="0.39370078740157483" header="0.11811023622047245" footer="0.11811023622047245"/>
  <pageSetup paperSize="9" scale="95" firstPageNumber="104" orientation="landscape" useFirstPageNumber="1" r:id="rId1"/>
  <headerFooter alignWithMargins="0">
    <oddFooter>&amp;L&amp;"Browallia New,Regular"&amp;14รายงานการประเมินตนเอง ปีการศึกษา 2552&amp;C&amp;"Browallia New,Regular"&amp;16 &amp;R&amp;"Browallia New,Regular"&amp;14&amp;P</oddFooter>
  </headerFooter>
  <rowBreaks count="8" manualBreakCount="8">
    <brk id="13" max="16383" man="1"/>
    <brk id="27" max="16383" man="1"/>
    <brk id="35" max="16383" man="1"/>
    <brk id="45" max="16383" man="1"/>
    <brk id="57" max="16383" man="1"/>
    <brk id="63" max="16383" man="1"/>
    <brk id="77" max="16383" man="1"/>
    <brk id="9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H35"/>
  <sheetViews>
    <sheetView view="pageBreakPreview" zoomScale="90" zoomScaleNormal="100" workbookViewId="0">
      <selection sqref="A1:H1"/>
    </sheetView>
  </sheetViews>
  <sheetFormatPr defaultColWidth="10.28515625" defaultRowHeight="21.75"/>
  <cols>
    <col min="1" max="1" width="4.140625" style="525" customWidth="1"/>
    <col min="2" max="2" width="38" style="525" customWidth="1"/>
    <col min="3" max="3" width="10.7109375" style="548" customWidth="1"/>
    <col min="4" max="5" width="8.7109375" style="548" customWidth="1"/>
    <col min="6" max="6" width="10.7109375" style="549" customWidth="1"/>
    <col min="7" max="7" width="26.85546875" style="548" customWidth="1"/>
    <col min="8" max="8" width="35.5703125" style="548" customWidth="1"/>
    <col min="9" max="16384" width="10.28515625" style="525"/>
  </cols>
  <sheetData>
    <row r="1" spans="1:8" s="521" customFormat="1" ht="30" customHeight="1">
      <c r="A1" s="1105" t="s">
        <v>1133</v>
      </c>
      <c r="B1" s="1105"/>
      <c r="C1" s="1105"/>
      <c r="D1" s="1105"/>
      <c r="E1" s="1105"/>
      <c r="F1" s="1105"/>
      <c r="G1" s="1105"/>
      <c r="H1" s="1105"/>
    </row>
    <row r="2" spans="1:8" ht="23.25" customHeight="1">
      <c r="A2" s="522"/>
      <c r="B2" s="1123" t="s">
        <v>137</v>
      </c>
      <c r="C2" s="1122" t="s">
        <v>466</v>
      </c>
      <c r="D2" s="1124" t="s">
        <v>526</v>
      </c>
      <c r="E2" s="1124"/>
      <c r="F2" s="1124"/>
      <c r="G2" s="1121" t="s">
        <v>467</v>
      </c>
      <c r="H2" s="523" t="s">
        <v>468</v>
      </c>
    </row>
    <row r="3" spans="1:8" ht="64.5" customHeight="1">
      <c r="A3" s="526"/>
      <c r="B3" s="1123"/>
      <c r="C3" s="1122"/>
      <c r="D3" s="524" t="s">
        <v>469</v>
      </c>
      <c r="E3" s="524" t="s">
        <v>470</v>
      </c>
      <c r="F3" s="524" t="s">
        <v>471</v>
      </c>
      <c r="G3" s="1122"/>
      <c r="H3" s="417" t="s">
        <v>472</v>
      </c>
    </row>
    <row r="4" spans="1:8" ht="75.75" customHeight="1">
      <c r="A4" s="527">
        <v>1</v>
      </c>
      <c r="B4" s="528" t="s">
        <v>473</v>
      </c>
      <c r="C4" s="529">
        <v>13</v>
      </c>
      <c r="D4" s="969">
        <v>190</v>
      </c>
      <c r="E4" s="970">
        <v>4904</v>
      </c>
      <c r="F4" s="957">
        <f>(D4/E4)*100</f>
        <v>3.8743882544861337</v>
      </c>
      <c r="G4" s="533">
        <f>((F4-C4)/C4)*100</f>
        <v>-70.197013427029745</v>
      </c>
      <c r="H4" s="976">
        <v>3</v>
      </c>
    </row>
    <row r="5" spans="1:8" ht="43.5">
      <c r="A5" s="527">
        <v>2</v>
      </c>
      <c r="B5" s="528" t="s">
        <v>474</v>
      </c>
      <c r="C5" s="729">
        <v>2.2999999999999998</v>
      </c>
      <c r="D5" s="1115">
        <v>2.8</v>
      </c>
      <c r="E5" s="1116"/>
      <c r="F5" s="1117"/>
      <c r="G5" s="533">
        <f>((D5-C5)/C5)*100</f>
        <v>21.739130434782609</v>
      </c>
      <c r="H5" s="976">
        <v>3</v>
      </c>
    </row>
    <row r="6" spans="1:8" ht="43.5">
      <c r="A6" s="527">
        <v>3</v>
      </c>
      <c r="B6" s="528" t="s">
        <v>475</v>
      </c>
      <c r="C6" s="529">
        <v>10</v>
      </c>
      <c r="D6" s="969">
        <v>37</v>
      </c>
      <c r="E6" s="980">
        <v>465</v>
      </c>
      <c r="F6" s="957">
        <f>(D6/E6)*100</f>
        <v>7.956989247311828</v>
      </c>
      <c r="G6" s="533">
        <f>((F6-C6)/C6)*100</f>
        <v>-20.43010752688172</v>
      </c>
      <c r="H6" s="976">
        <v>0</v>
      </c>
    </row>
    <row r="7" spans="1:8" ht="43.5">
      <c r="A7" s="527">
        <v>4</v>
      </c>
      <c r="B7" s="528" t="s">
        <v>476</v>
      </c>
      <c r="C7" s="529">
        <v>50</v>
      </c>
      <c r="D7" s="969">
        <v>410</v>
      </c>
      <c r="E7" s="980">
        <v>521</v>
      </c>
      <c r="F7" s="957">
        <f>(D7/E7)*100</f>
        <v>78.694817658349322</v>
      </c>
      <c r="G7" s="533">
        <f>((F7-C7)/C7)*100</f>
        <v>57.389635316698637</v>
      </c>
      <c r="H7" s="976">
        <v>3</v>
      </c>
    </row>
    <row r="8" spans="1:8" ht="41.25" customHeight="1">
      <c r="A8" s="527">
        <v>5</v>
      </c>
      <c r="B8" s="528" t="s">
        <v>477</v>
      </c>
      <c r="C8" s="529">
        <v>3.45</v>
      </c>
      <c r="D8" s="1118">
        <v>3.32</v>
      </c>
      <c r="E8" s="1119"/>
      <c r="F8" s="1120"/>
      <c r="G8" s="533">
        <f>((D8-C8)/C8)*100</f>
        <v>-3.7681159420289956</v>
      </c>
      <c r="H8" s="967">
        <v>2</v>
      </c>
    </row>
    <row r="9" spans="1:8" ht="43.5">
      <c r="A9" s="527">
        <v>6</v>
      </c>
      <c r="B9" s="528" t="s">
        <v>478</v>
      </c>
      <c r="C9" s="534">
        <v>12500</v>
      </c>
      <c r="D9" s="1115">
        <v>12756.56</v>
      </c>
      <c r="E9" s="1116"/>
      <c r="F9" s="1117"/>
      <c r="G9" s="533">
        <f>((D9-C9)/C9)*100</f>
        <v>2.0524799999999956</v>
      </c>
      <c r="H9" s="976">
        <v>3</v>
      </c>
    </row>
    <row r="10" spans="1:8" ht="65.25">
      <c r="A10" s="527">
        <v>7</v>
      </c>
      <c r="B10" s="528" t="s">
        <v>479</v>
      </c>
      <c r="C10" s="529">
        <v>10</v>
      </c>
      <c r="D10" s="977">
        <v>5001</v>
      </c>
      <c r="E10" s="978">
        <v>48532.5</v>
      </c>
      <c r="F10" s="532">
        <f>(D10/E10)*100</f>
        <v>10.304435172307217</v>
      </c>
      <c r="G10" s="535">
        <f>((F10-C10)/C10)*100</f>
        <v>3.0443517230721717</v>
      </c>
      <c r="H10" s="967">
        <v>3</v>
      </c>
    </row>
    <row r="11" spans="1:8" ht="24" customHeight="1">
      <c r="A11" s="527">
        <v>8</v>
      </c>
      <c r="B11" s="528" t="s">
        <v>480</v>
      </c>
      <c r="C11" s="529">
        <v>35</v>
      </c>
      <c r="D11" s="972">
        <v>3019</v>
      </c>
      <c r="E11" s="970">
        <v>3845</v>
      </c>
      <c r="F11" s="532">
        <f>(D11/E11)*100</f>
        <v>78.517555266579976</v>
      </c>
      <c r="G11" s="533">
        <f>((F11-C11)/C11)*100</f>
        <v>124.3358721902285</v>
      </c>
      <c r="H11" s="976">
        <v>3</v>
      </c>
    </row>
    <row r="12" spans="1:8" ht="65.25">
      <c r="A12" s="527">
        <v>9</v>
      </c>
      <c r="B12" s="528" t="s">
        <v>481</v>
      </c>
      <c r="C12" s="529">
        <v>15</v>
      </c>
      <c r="D12" s="969">
        <v>3116</v>
      </c>
      <c r="E12" s="971">
        <v>3845</v>
      </c>
      <c r="F12" s="968">
        <f>(D12/E12)*100</f>
        <v>81.040312093628089</v>
      </c>
      <c r="G12" s="533">
        <f>((F12-C12)/C12)*100</f>
        <v>440.26874729085392</v>
      </c>
      <c r="H12" s="976">
        <v>3</v>
      </c>
    </row>
    <row r="13" spans="1:8" ht="65.25">
      <c r="A13" s="527">
        <v>10</v>
      </c>
      <c r="B13" s="528" t="s">
        <v>482</v>
      </c>
      <c r="C13" s="529">
        <v>12</v>
      </c>
      <c r="D13" s="979">
        <v>627</v>
      </c>
      <c r="E13" s="980">
        <v>2166</v>
      </c>
      <c r="F13" s="532">
        <f>(D13/E13)*100</f>
        <v>28.947368421052634</v>
      </c>
      <c r="G13" s="533">
        <f>((F13-C13)/C13)*100</f>
        <v>141.2280701754386</v>
      </c>
      <c r="H13" s="976">
        <v>3</v>
      </c>
    </row>
    <row r="14" spans="1:8" ht="43.5">
      <c r="A14" s="527">
        <v>11</v>
      </c>
      <c r="B14" s="528" t="s">
        <v>483</v>
      </c>
      <c r="C14" s="529">
        <v>80</v>
      </c>
      <c r="D14" s="1109">
        <v>87.2</v>
      </c>
      <c r="E14" s="1110"/>
      <c r="F14" s="1111"/>
      <c r="G14" s="533">
        <f>((D14-C14)/C14)*100</f>
        <v>9.0000000000000036</v>
      </c>
      <c r="H14" s="976">
        <v>3</v>
      </c>
    </row>
    <row r="15" spans="1:8" ht="43.5">
      <c r="A15" s="527">
        <v>12</v>
      </c>
      <c r="B15" s="528" t="s">
        <v>484</v>
      </c>
      <c r="C15" s="529">
        <v>5</v>
      </c>
      <c r="D15" s="969">
        <v>14</v>
      </c>
      <c r="E15" s="980">
        <v>465</v>
      </c>
      <c r="F15" s="532">
        <f>(D15/E15)*100</f>
        <v>3.010752688172043</v>
      </c>
      <c r="G15" s="533">
        <f>((F15-C15)/C15)*100</f>
        <v>-39.784946236559136</v>
      </c>
      <c r="H15" s="976">
        <v>0</v>
      </c>
    </row>
    <row r="16" spans="1:8" ht="87">
      <c r="A16" s="527">
        <v>13</v>
      </c>
      <c r="B16" s="528" t="s">
        <v>485</v>
      </c>
      <c r="C16" s="529">
        <v>10</v>
      </c>
      <c r="D16" s="969">
        <v>80</v>
      </c>
      <c r="E16" s="969">
        <v>178</v>
      </c>
      <c r="F16" s="532">
        <f>(D16/E16)*100</f>
        <v>44.943820224719097</v>
      </c>
      <c r="G16" s="533">
        <f>((F16-C16)/C16)*100</f>
        <v>349.43820224719093</v>
      </c>
      <c r="H16" s="976">
        <v>3</v>
      </c>
    </row>
    <row r="17" spans="1:8" ht="120" customHeight="1">
      <c r="A17" s="527">
        <v>14</v>
      </c>
      <c r="B17" s="528" t="s">
        <v>486</v>
      </c>
      <c r="C17" s="732">
        <v>25</v>
      </c>
      <c r="D17" s="1106">
        <v>15</v>
      </c>
      <c r="E17" s="1107"/>
      <c r="F17" s="1108"/>
      <c r="G17" s="533">
        <f>((D17-C17)/C17)*100</f>
        <v>-40</v>
      </c>
      <c r="H17" s="976">
        <v>0</v>
      </c>
    </row>
    <row r="18" spans="1:8" ht="114" customHeight="1">
      <c r="A18" s="527">
        <v>15</v>
      </c>
      <c r="B18" s="528" t="s">
        <v>487</v>
      </c>
      <c r="C18" s="732">
        <v>100</v>
      </c>
      <c r="D18" s="1109">
        <v>332</v>
      </c>
      <c r="E18" s="1110"/>
      <c r="F18" s="1111"/>
      <c r="G18" s="533">
        <f>((D18-C18)/C18)*100</f>
        <v>231.99999999999997</v>
      </c>
      <c r="H18" s="976">
        <v>3</v>
      </c>
    </row>
    <row r="19" spans="1:8" ht="43.5">
      <c r="A19" s="527">
        <v>16</v>
      </c>
      <c r="B19" s="528" t="s">
        <v>488</v>
      </c>
      <c r="C19" s="529">
        <v>3</v>
      </c>
      <c r="D19" s="969">
        <v>31</v>
      </c>
      <c r="E19" s="971">
        <v>907</v>
      </c>
      <c r="F19" s="973">
        <f>(D19/E19)*100</f>
        <v>3.4178610804851157</v>
      </c>
      <c r="G19" s="533">
        <f>((F19-C19)/C19)*100</f>
        <v>13.928702682837191</v>
      </c>
      <c r="H19" s="976">
        <v>3</v>
      </c>
    </row>
    <row r="20" spans="1:8" ht="60.75">
      <c r="A20" s="527">
        <v>17</v>
      </c>
      <c r="B20" s="528" t="s">
        <v>489</v>
      </c>
      <c r="C20" s="529">
        <v>15</v>
      </c>
      <c r="D20" s="1106">
        <v>39</v>
      </c>
      <c r="E20" s="1107"/>
      <c r="F20" s="1108"/>
      <c r="G20" s="533">
        <f>((D20-C20)/C20)*100</f>
        <v>160</v>
      </c>
      <c r="H20" s="976">
        <v>3</v>
      </c>
    </row>
    <row r="21" spans="1:8" ht="24" customHeight="1" thickBot="1">
      <c r="A21" s="527">
        <v>18</v>
      </c>
      <c r="B21" s="528" t="s">
        <v>490</v>
      </c>
      <c r="C21" s="529" t="s">
        <v>491</v>
      </c>
      <c r="D21" s="1112" t="s">
        <v>491</v>
      </c>
      <c r="E21" s="1113"/>
      <c r="F21" s="1114"/>
      <c r="G21" s="536"/>
      <c r="H21" s="537">
        <v>3</v>
      </c>
    </row>
    <row r="22" spans="1:8" ht="24" customHeight="1" thickBot="1">
      <c r="A22" s="538"/>
      <c r="B22" s="539"/>
      <c r="C22" s="540"/>
      <c r="D22" s="541"/>
      <c r="E22" s="541"/>
      <c r="F22" s="542"/>
      <c r="G22" s="543" t="s">
        <v>492</v>
      </c>
      <c r="H22" s="544">
        <f>SUM(H4:H21)</f>
        <v>44</v>
      </c>
    </row>
    <row r="23" spans="1:8" ht="24" customHeight="1" thickBot="1">
      <c r="B23" s="545"/>
      <c r="C23" s="546"/>
      <c r="D23" s="547"/>
      <c r="E23" s="547"/>
      <c r="F23" s="547"/>
      <c r="G23" s="543" t="s">
        <v>493</v>
      </c>
      <c r="H23" s="544">
        <v>18</v>
      </c>
    </row>
    <row r="24" spans="1:8" ht="30" customHeight="1" thickBot="1">
      <c r="B24" s="545"/>
      <c r="C24" s="546"/>
      <c r="G24" s="550" t="s">
        <v>494</v>
      </c>
      <c r="H24" s="551">
        <f>H22/H23</f>
        <v>2.4444444444444446</v>
      </c>
    </row>
    <row r="25" spans="1:8">
      <c r="B25" s="545"/>
      <c r="C25" s="546"/>
    </row>
    <row r="26" spans="1:8" ht="22.5">
      <c r="A26" s="526"/>
      <c r="B26" s="552" t="s">
        <v>495</v>
      </c>
      <c r="C26" s="553"/>
      <c r="D26" s="554"/>
      <c r="E26" s="554"/>
      <c r="F26" s="555"/>
      <c r="G26" s="554"/>
      <c r="H26" s="556"/>
    </row>
    <row r="27" spans="1:8" ht="73.5">
      <c r="A27" s="527">
        <v>1</v>
      </c>
      <c r="B27" s="528" t="s">
        <v>496</v>
      </c>
      <c r="C27" s="558">
        <v>1</v>
      </c>
      <c r="D27" s="1125">
        <v>0</v>
      </c>
      <c r="E27" s="1125"/>
      <c r="F27" s="1126"/>
      <c r="G27" s="557">
        <f>((D27-C27)/C27)*100</f>
        <v>-100</v>
      </c>
      <c r="H27" s="567">
        <v>0</v>
      </c>
    </row>
    <row r="28" spans="1:8" ht="63.75" customHeight="1">
      <c r="A28" s="527">
        <v>2</v>
      </c>
      <c r="B28" s="528" t="s">
        <v>537</v>
      </c>
      <c r="C28" s="529">
        <v>20</v>
      </c>
      <c r="D28" s="530">
        <v>28</v>
      </c>
      <c r="E28" s="531">
        <v>115</v>
      </c>
      <c r="F28" s="973">
        <f>(D28/E28)*100</f>
        <v>24.347826086956523</v>
      </c>
      <c r="G28" s="557">
        <f>((F28-C28)/C28)*100</f>
        <v>21.739130434782616</v>
      </c>
      <c r="H28" s="558">
        <v>3</v>
      </c>
    </row>
    <row r="29" spans="1:8" ht="61.5" thickBot="1">
      <c r="A29" s="527">
        <v>3</v>
      </c>
      <c r="B29" s="528" t="s">
        <v>497</v>
      </c>
      <c r="C29" s="529">
        <v>3</v>
      </c>
      <c r="D29" s="1104">
        <v>4</v>
      </c>
      <c r="E29" s="1104"/>
      <c r="F29" s="1104"/>
      <c r="G29" s="557">
        <f>((D29-C29)/C29)*100</f>
        <v>33.333333333333329</v>
      </c>
      <c r="H29" s="559">
        <v>3</v>
      </c>
    </row>
    <row r="30" spans="1:8" ht="23.25" thickBot="1">
      <c r="G30" s="544" t="s">
        <v>498</v>
      </c>
      <c r="H30" s="544">
        <f>SUM(H27:H29)</f>
        <v>6</v>
      </c>
    </row>
    <row r="31" spans="1:8" ht="23.25" thickBot="1">
      <c r="G31" s="560"/>
      <c r="H31" s="560"/>
    </row>
    <row r="32" spans="1:8" ht="30" customHeight="1" thickBot="1">
      <c r="B32" s="561"/>
      <c r="G32" s="562" t="s">
        <v>499</v>
      </c>
      <c r="H32" s="975">
        <f>H22+H30</f>
        <v>50</v>
      </c>
    </row>
    <row r="33" spans="2:8" ht="61.5" customHeight="1" thickBot="1">
      <c r="B33" s="561"/>
      <c r="G33" s="563" t="s">
        <v>500</v>
      </c>
      <c r="H33" s="975">
        <v>20</v>
      </c>
    </row>
    <row r="34" spans="2:8" ht="40.5" customHeight="1" thickBot="1">
      <c r="B34" s="564"/>
      <c r="C34" s="565"/>
      <c r="G34" s="563" t="s">
        <v>501</v>
      </c>
      <c r="H34" s="974">
        <f>H32/ H33</f>
        <v>2.5</v>
      </c>
    </row>
    <row r="35" spans="2:8">
      <c r="B35" s="566"/>
      <c r="C35" s="546"/>
    </row>
  </sheetData>
  <mergeCells count="15">
    <mergeCell ref="D29:F29"/>
    <mergeCell ref="A1:H1"/>
    <mergeCell ref="D17:F17"/>
    <mergeCell ref="D18:F18"/>
    <mergeCell ref="D20:F20"/>
    <mergeCell ref="D21:F21"/>
    <mergeCell ref="D5:F5"/>
    <mergeCell ref="D8:F8"/>
    <mergeCell ref="D9:F9"/>
    <mergeCell ref="G2:G3"/>
    <mergeCell ref="D14:F14"/>
    <mergeCell ref="B2:B3"/>
    <mergeCell ref="C2:C3"/>
    <mergeCell ref="D2:F2"/>
    <mergeCell ref="D27:F27"/>
  </mergeCells>
  <phoneticPr fontId="5" type="noConversion"/>
  <pageMargins left="0.55118110236220474" right="0.35433070866141736" top="0.59055118110236227" bottom="0.39370078740157483" header="0.31496062992125984" footer="0.31496062992125984"/>
  <pageSetup paperSize="9" scale="95" firstPageNumber="114" orientation="landscape" useFirstPageNumber="1" r:id="rId1"/>
  <headerFooter alignWithMargins="0">
    <oddFooter>&amp;L&amp;"Browallia New,Regular"&amp;14รายงานการประเมินตนเอง ปีการศึกษา 2552&amp;R&amp;"Browallia New,Regular"&amp;14&amp;P</oddFooter>
  </headerFooter>
  <rowBreaks count="2" manualBreakCount="2">
    <brk id="10" max="16383" man="1"/>
    <brk id="2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C303"/>
  <sheetViews>
    <sheetView view="pageBreakPreview" zoomScale="80" zoomScaleNormal="12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T1"/>
    </sheetView>
  </sheetViews>
  <sheetFormatPr defaultRowHeight="21"/>
  <cols>
    <col min="1" max="1" width="21.5703125" style="205" customWidth="1"/>
    <col min="2" max="2" width="13.42578125" style="471" customWidth="1"/>
    <col min="3" max="3" width="12.7109375" style="471" customWidth="1"/>
    <col min="4" max="4" width="12.85546875" style="472" customWidth="1"/>
    <col min="5" max="5" width="12.85546875" style="472" hidden="1" customWidth="1"/>
    <col min="6" max="13" width="10.7109375" style="472" customWidth="1"/>
    <col min="14" max="14" width="10.7109375" style="472" hidden="1" customWidth="1"/>
    <col min="15" max="16" width="10.7109375" style="472" customWidth="1"/>
    <col min="17" max="17" width="10.7109375" style="472" hidden="1" customWidth="1"/>
    <col min="18" max="18" width="10.7109375" style="472" customWidth="1"/>
    <col min="19" max="19" width="10.7109375" style="472" hidden="1" customWidth="1"/>
    <col min="20" max="20" width="10.7109375" style="472" customWidth="1"/>
    <col min="21" max="21" width="8.28515625" style="289" hidden="1" customWidth="1"/>
    <col min="22" max="25" width="11.7109375" style="27" customWidth="1"/>
    <col min="26" max="133" width="9.140625" style="27"/>
    <col min="134" max="16384" width="9.140625" style="4"/>
  </cols>
  <sheetData>
    <row r="1" spans="1:133" s="501" customFormat="1" ht="25.5" customHeight="1">
      <c r="A1" s="1130" t="s">
        <v>1134</v>
      </c>
      <c r="B1" s="1130"/>
      <c r="C1" s="1130"/>
      <c r="D1" s="1130"/>
      <c r="E1" s="1130"/>
      <c r="F1" s="1130"/>
      <c r="G1" s="1130"/>
      <c r="H1" s="1130"/>
      <c r="I1" s="1130"/>
      <c r="J1" s="1130"/>
      <c r="K1" s="1130"/>
      <c r="L1" s="1130"/>
      <c r="M1" s="1130"/>
      <c r="N1" s="1130"/>
      <c r="O1" s="1130"/>
      <c r="P1" s="1130"/>
      <c r="Q1" s="1130"/>
      <c r="R1" s="1130"/>
      <c r="S1" s="1130"/>
      <c r="T1" s="1130"/>
      <c r="U1" s="499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  <c r="BC1" s="500"/>
      <c r="BD1" s="500"/>
      <c r="BE1" s="500"/>
      <c r="BF1" s="500"/>
      <c r="BG1" s="500"/>
      <c r="BH1" s="500"/>
      <c r="BI1" s="500"/>
      <c r="BJ1" s="500"/>
      <c r="BK1" s="500"/>
      <c r="BL1" s="500"/>
      <c r="BM1" s="500"/>
      <c r="BN1" s="500"/>
      <c r="BO1" s="500"/>
      <c r="BP1" s="500"/>
      <c r="BQ1" s="500"/>
      <c r="BR1" s="500"/>
      <c r="BS1" s="500"/>
      <c r="BT1" s="500"/>
      <c r="BU1" s="500"/>
      <c r="BV1" s="500"/>
      <c r="BW1" s="500"/>
      <c r="BX1" s="500"/>
      <c r="BY1" s="500"/>
      <c r="BZ1" s="500"/>
      <c r="CA1" s="500"/>
      <c r="CB1" s="500"/>
      <c r="CC1" s="500"/>
      <c r="CD1" s="500"/>
      <c r="CE1" s="500"/>
      <c r="CF1" s="500"/>
      <c r="CG1" s="500"/>
      <c r="CH1" s="500"/>
      <c r="CI1" s="500"/>
      <c r="CJ1" s="500"/>
      <c r="CK1" s="500"/>
      <c r="CL1" s="500"/>
      <c r="CM1" s="500"/>
      <c r="CN1" s="500"/>
      <c r="CO1" s="500"/>
      <c r="CP1" s="500"/>
      <c r="CQ1" s="500"/>
      <c r="CR1" s="500"/>
      <c r="CS1" s="500"/>
      <c r="CT1" s="500"/>
      <c r="CU1" s="500"/>
      <c r="CV1" s="500"/>
      <c r="CW1" s="500"/>
      <c r="CX1" s="500"/>
      <c r="CY1" s="500"/>
      <c r="CZ1" s="500"/>
      <c r="DA1" s="500"/>
      <c r="DB1" s="500"/>
      <c r="DC1" s="500"/>
      <c r="DD1" s="500"/>
      <c r="DE1" s="500"/>
      <c r="DF1" s="500"/>
      <c r="DG1" s="500"/>
      <c r="DH1" s="500"/>
      <c r="DI1" s="500"/>
      <c r="DJ1" s="500"/>
      <c r="DK1" s="500"/>
      <c r="DL1" s="500"/>
      <c r="DM1" s="500"/>
      <c r="DN1" s="500"/>
      <c r="DO1" s="500"/>
      <c r="DP1" s="500"/>
      <c r="DQ1" s="500"/>
      <c r="DR1" s="500"/>
      <c r="DS1" s="500"/>
      <c r="DT1" s="500"/>
      <c r="DU1" s="500"/>
      <c r="DV1" s="500"/>
      <c r="DW1" s="500"/>
      <c r="DX1" s="500"/>
      <c r="DY1" s="500"/>
      <c r="DZ1" s="500"/>
      <c r="EA1" s="500"/>
      <c r="EB1" s="500"/>
      <c r="EC1" s="500"/>
    </row>
    <row r="2" spans="1:133" s="3" customFormat="1" ht="35.25">
      <c r="A2" s="1131" t="s">
        <v>1135</v>
      </c>
      <c r="B2" s="1131"/>
      <c r="C2" s="1131"/>
      <c r="D2" s="1131"/>
      <c r="E2" s="1131"/>
      <c r="F2" s="1131"/>
      <c r="G2" s="1131"/>
      <c r="H2" s="1131"/>
      <c r="I2" s="1131"/>
      <c r="J2" s="1131"/>
      <c r="K2" s="1131"/>
      <c r="L2" s="1131"/>
      <c r="M2" s="1131"/>
      <c r="N2" s="1131"/>
      <c r="O2" s="1131"/>
      <c r="P2" s="1131"/>
      <c r="Q2" s="1131"/>
      <c r="R2" s="1131"/>
      <c r="S2" s="1131"/>
      <c r="T2" s="1131"/>
      <c r="U2" s="502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503"/>
      <c r="CF2" s="503"/>
      <c r="CG2" s="503"/>
      <c r="CH2" s="503"/>
      <c r="CI2" s="503"/>
      <c r="CJ2" s="503"/>
      <c r="CK2" s="503"/>
      <c r="CL2" s="503"/>
      <c r="CM2" s="503"/>
      <c r="CN2" s="503"/>
      <c r="CO2" s="503"/>
      <c r="CP2" s="503"/>
      <c r="CQ2" s="503"/>
      <c r="CR2" s="503"/>
      <c r="CS2" s="503"/>
      <c r="CT2" s="503"/>
      <c r="CU2" s="503"/>
      <c r="CV2" s="503"/>
      <c r="CW2" s="503"/>
      <c r="CX2" s="503"/>
      <c r="CY2" s="503"/>
      <c r="CZ2" s="503"/>
      <c r="DA2" s="503"/>
      <c r="DB2" s="503"/>
      <c r="DC2" s="503"/>
      <c r="DD2" s="503"/>
      <c r="DE2" s="503"/>
      <c r="DF2" s="503"/>
      <c r="DG2" s="503"/>
      <c r="DH2" s="503"/>
      <c r="DI2" s="503"/>
      <c r="DJ2" s="503"/>
      <c r="DK2" s="503"/>
      <c r="DL2" s="503"/>
      <c r="DM2" s="503"/>
      <c r="DN2" s="503"/>
      <c r="DO2" s="503"/>
      <c r="DP2" s="503"/>
      <c r="DQ2" s="503"/>
      <c r="DR2" s="503"/>
      <c r="DS2" s="503"/>
      <c r="DT2" s="503"/>
      <c r="DU2" s="503"/>
      <c r="DV2" s="503"/>
      <c r="DW2" s="503"/>
      <c r="DX2" s="503"/>
      <c r="DY2" s="503"/>
      <c r="DZ2" s="503"/>
      <c r="EA2" s="503"/>
      <c r="EB2" s="503"/>
      <c r="EC2" s="503"/>
    </row>
    <row r="3" spans="1:133" ht="7.5" customHeight="1">
      <c r="A3" s="205" t="s">
        <v>643</v>
      </c>
    </row>
    <row r="4" spans="1:133" s="483" customFormat="1" ht="40.5" customHeight="1">
      <c r="A4" s="123" t="s">
        <v>109</v>
      </c>
      <c r="B4" s="123" t="s">
        <v>51</v>
      </c>
      <c r="C4" s="427" t="s">
        <v>228</v>
      </c>
      <c r="D4" s="427" t="s">
        <v>732</v>
      </c>
      <c r="E4" s="166" t="s">
        <v>444</v>
      </c>
      <c r="F4" s="187" t="s">
        <v>442</v>
      </c>
      <c r="G4" s="187" t="s">
        <v>443</v>
      </c>
      <c r="H4" s="187" t="s">
        <v>252</v>
      </c>
      <c r="I4" s="748" t="s">
        <v>445</v>
      </c>
      <c r="J4" s="187" t="s">
        <v>446</v>
      </c>
      <c r="K4" s="187" t="s">
        <v>447</v>
      </c>
      <c r="L4" s="187" t="s">
        <v>448</v>
      </c>
      <c r="M4" s="124" t="s">
        <v>450</v>
      </c>
      <c r="N4" s="166" t="s">
        <v>394</v>
      </c>
      <c r="O4" s="124" t="s">
        <v>449</v>
      </c>
      <c r="P4" s="187" t="s">
        <v>451</v>
      </c>
      <c r="Q4" s="166" t="s">
        <v>393</v>
      </c>
      <c r="R4" s="187" t="s">
        <v>454</v>
      </c>
      <c r="S4" s="166" t="s">
        <v>452</v>
      </c>
      <c r="T4" s="187" t="s">
        <v>453</v>
      </c>
      <c r="U4" s="187" t="s">
        <v>513</v>
      </c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2"/>
      <c r="BH4" s="482"/>
      <c r="BI4" s="482"/>
      <c r="BJ4" s="482"/>
      <c r="BK4" s="482"/>
      <c r="BL4" s="482"/>
      <c r="BM4" s="482"/>
      <c r="BN4" s="482"/>
      <c r="BO4" s="482"/>
      <c r="BP4" s="482"/>
      <c r="BQ4" s="482"/>
      <c r="BR4" s="482"/>
      <c r="BS4" s="482"/>
      <c r="BT4" s="482"/>
      <c r="BU4" s="482"/>
      <c r="BV4" s="482"/>
      <c r="BW4" s="482"/>
      <c r="BX4" s="482"/>
      <c r="BY4" s="482"/>
      <c r="BZ4" s="482"/>
      <c r="CA4" s="482"/>
      <c r="CB4" s="482"/>
      <c r="CC4" s="482"/>
      <c r="CD4" s="482"/>
      <c r="CE4" s="482"/>
      <c r="CF4" s="482"/>
      <c r="CG4" s="482"/>
      <c r="CH4" s="482"/>
      <c r="CI4" s="482"/>
      <c r="CJ4" s="482"/>
      <c r="CK4" s="482"/>
      <c r="CL4" s="482"/>
      <c r="CM4" s="482"/>
      <c r="CN4" s="482"/>
      <c r="CO4" s="482"/>
      <c r="CP4" s="482"/>
      <c r="CQ4" s="482"/>
      <c r="CR4" s="482"/>
      <c r="CS4" s="482"/>
      <c r="CT4" s="482"/>
      <c r="CU4" s="482"/>
      <c r="CV4" s="482"/>
      <c r="CW4" s="482"/>
      <c r="CX4" s="482"/>
      <c r="CY4" s="482"/>
      <c r="CZ4" s="482"/>
      <c r="DA4" s="482"/>
      <c r="DB4" s="482"/>
      <c r="DC4" s="482"/>
      <c r="DD4" s="482"/>
      <c r="DE4" s="482"/>
      <c r="DF4" s="482"/>
      <c r="DG4" s="482"/>
      <c r="DH4" s="482"/>
      <c r="DI4" s="482"/>
      <c r="DJ4" s="482"/>
      <c r="DK4" s="482"/>
      <c r="DL4" s="482"/>
      <c r="DM4" s="482"/>
      <c r="DN4" s="482"/>
      <c r="DO4" s="482"/>
      <c r="DP4" s="482"/>
      <c r="DQ4" s="482"/>
      <c r="DR4" s="482"/>
      <c r="DS4" s="482"/>
      <c r="DT4" s="482"/>
      <c r="DU4" s="482"/>
      <c r="DV4" s="482"/>
      <c r="DW4" s="482"/>
      <c r="DX4" s="482"/>
      <c r="DY4" s="482"/>
      <c r="DZ4" s="482"/>
      <c r="EA4" s="482"/>
    </row>
    <row r="5" spans="1:133">
      <c r="A5" s="206" t="s">
        <v>571</v>
      </c>
      <c r="B5" s="141"/>
      <c r="C5" s="141"/>
      <c r="D5" s="141"/>
      <c r="E5" s="165"/>
      <c r="F5" s="33"/>
      <c r="G5" s="33"/>
      <c r="H5" s="33"/>
      <c r="I5" s="33"/>
      <c r="J5" s="33"/>
      <c r="K5" s="33"/>
      <c r="L5" s="33"/>
      <c r="M5" s="33"/>
      <c r="N5" s="164"/>
      <c r="O5" s="33"/>
      <c r="P5" s="33"/>
      <c r="Q5" s="164"/>
      <c r="R5" s="33"/>
      <c r="S5" s="164"/>
      <c r="T5" s="33"/>
      <c r="U5" s="290"/>
      <c r="EB5" s="4"/>
      <c r="EC5" s="4"/>
    </row>
    <row r="6" spans="1:133" ht="37.5">
      <c r="A6" s="207" t="s">
        <v>691</v>
      </c>
      <c r="B6" s="984">
        <v>67</v>
      </c>
      <c r="C6" s="260"/>
      <c r="D6" s="142">
        <f>E6+N6+Q6+S6</f>
        <v>1203</v>
      </c>
      <c r="E6" s="167">
        <f>SUM(F6:M6)</f>
        <v>732</v>
      </c>
      <c r="F6" s="47">
        <v>172</v>
      </c>
      <c r="G6" s="47">
        <v>76</v>
      </c>
      <c r="H6" s="47">
        <v>25</v>
      </c>
      <c r="I6" s="47">
        <v>173</v>
      </c>
      <c r="J6" s="47">
        <v>33</v>
      </c>
      <c r="K6" s="47">
        <v>100</v>
      </c>
      <c r="L6" s="47">
        <v>114</v>
      </c>
      <c r="M6" s="47">
        <v>39</v>
      </c>
      <c r="N6" s="167">
        <f>SUM(O6:P6)</f>
        <v>194</v>
      </c>
      <c r="O6" s="47">
        <v>47</v>
      </c>
      <c r="P6" s="161">
        <v>147</v>
      </c>
      <c r="Q6" s="167">
        <f>R6</f>
        <v>110</v>
      </c>
      <c r="R6" s="47">
        <v>110</v>
      </c>
      <c r="S6" s="167">
        <f>T6</f>
        <v>167</v>
      </c>
      <c r="T6" s="47">
        <v>167</v>
      </c>
      <c r="U6" s="291"/>
      <c r="EB6" s="4"/>
      <c r="EC6" s="4"/>
    </row>
    <row r="7" spans="1:133" ht="57" thickBot="1">
      <c r="A7" s="448" t="s">
        <v>110</v>
      </c>
      <c r="B7" s="985">
        <v>60</v>
      </c>
      <c r="C7" s="443"/>
      <c r="D7" s="444">
        <f>E7+N7+Q7+S7</f>
        <v>1118</v>
      </c>
      <c r="E7" s="445">
        <f>SUM(F7:M7)</f>
        <v>689</v>
      </c>
      <c r="F7" s="446">
        <v>155</v>
      </c>
      <c r="G7" s="446">
        <v>71</v>
      </c>
      <c r="H7" s="446">
        <v>19</v>
      </c>
      <c r="I7" s="446">
        <v>172</v>
      </c>
      <c r="J7" s="446">
        <v>32</v>
      </c>
      <c r="K7" s="446">
        <v>90</v>
      </c>
      <c r="L7" s="446">
        <v>106</v>
      </c>
      <c r="M7" s="446">
        <v>44</v>
      </c>
      <c r="N7" s="445">
        <f>SUM(O7:P7)</f>
        <v>180</v>
      </c>
      <c r="O7" s="446">
        <v>45</v>
      </c>
      <c r="P7" s="446">
        <v>135</v>
      </c>
      <c r="Q7" s="445">
        <f>R7</f>
        <v>106</v>
      </c>
      <c r="R7" s="446">
        <v>106</v>
      </c>
      <c r="S7" s="445">
        <f>T7</f>
        <v>143</v>
      </c>
      <c r="T7" s="446">
        <v>143</v>
      </c>
      <c r="U7" s="447"/>
      <c r="EB7" s="4"/>
      <c r="EC7" s="4"/>
    </row>
    <row r="8" spans="1:133" ht="21" customHeight="1">
      <c r="A8" s="208" t="s">
        <v>575</v>
      </c>
      <c r="B8" s="261"/>
      <c r="C8" s="261"/>
      <c r="D8" s="143"/>
      <c r="E8" s="168"/>
      <c r="F8" s="49"/>
      <c r="G8" s="49"/>
      <c r="H8" s="49"/>
      <c r="I8" s="49"/>
      <c r="J8" s="49"/>
      <c r="K8" s="49"/>
      <c r="L8" s="49"/>
      <c r="M8" s="49"/>
      <c r="N8" s="168"/>
      <c r="O8" s="49"/>
      <c r="P8" s="49"/>
      <c r="Q8" s="168"/>
      <c r="R8" s="49"/>
      <c r="S8" s="168"/>
      <c r="T8" s="49"/>
      <c r="U8" s="136"/>
      <c r="EB8" s="4"/>
      <c r="EC8" s="4"/>
    </row>
    <row r="9" spans="1:133" s="349" customFormat="1" ht="33.75" customHeight="1">
      <c r="A9" s="209" t="s">
        <v>111</v>
      </c>
      <c r="B9" s="428">
        <f t="shared" ref="B9:B26" si="0">D9</f>
        <v>83</v>
      </c>
      <c r="C9" s="428"/>
      <c r="D9" s="428">
        <f>E9+N9+Q9+S9</f>
        <v>83</v>
      </c>
      <c r="E9" s="429">
        <f>SUM(F9:M9)</f>
        <v>60</v>
      </c>
      <c r="F9" s="83">
        <f t="shared" ref="F9:M9" si="1">F10+F12+F15</f>
        <v>17</v>
      </c>
      <c r="G9" s="83">
        <f t="shared" si="1"/>
        <v>2</v>
      </c>
      <c r="H9" s="83">
        <f t="shared" si="1"/>
        <v>3</v>
      </c>
      <c r="I9" s="83">
        <f t="shared" si="1"/>
        <v>10</v>
      </c>
      <c r="J9" s="83">
        <f t="shared" si="1"/>
        <v>3</v>
      </c>
      <c r="K9" s="83">
        <f t="shared" si="1"/>
        <v>6</v>
      </c>
      <c r="L9" s="83">
        <f>L10+L11+L12+L15</f>
        <v>10</v>
      </c>
      <c r="M9" s="83">
        <f t="shared" si="1"/>
        <v>9</v>
      </c>
      <c r="N9" s="429">
        <f t="shared" ref="N9:N26" si="2">SUM(O9:P9)</f>
        <v>5</v>
      </c>
      <c r="O9" s="83">
        <f>O10+O12+O15</f>
        <v>1</v>
      </c>
      <c r="P9" s="83">
        <f>P10+P12+P15</f>
        <v>4</v>
      </c>
      <c r="Q9" s="429">
        <f t="shared" ref="Q9:Q26" si="3">SUM(R9:R9)</f>
        <v>6</v>
      </c>
      <c r="R9" s="83">
        <f>R10+R12+R15</f>
        <v>6</v>
      </c>
      <c r="S9" s="429">
        <f t="shared" ref="S9:S26" si="4">SUM(T9:T9)</f>
        <v>12</v>
      </c>
      <c r="T9" s="87">
        <f>T10+T12+T15</f>
        <v>12</v>
      </c>
      <c r="U9" s="347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348"/>
      <c r="AO9" s="348"/>
      <c r="AP9" s="348"/>
      <c r="AQ9" s="348"/>
      <c r="AR9" s="348"/>
      <c r="AS9" s="348"/>
      <c r="AT9" s="348"/>
      <c r="AU9" s="348"/>
      <c r="AV9" s="348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8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348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</row>
    <row r="10" spans="1:133" s="349" customFormat="1" ht="20.100000000000001" customHeight="1">
      <c r="A10" s="210" t="s">
        <v>112</v>
      </c>
      <c r="B10" s="152">
        <f t="shared" si="0"/>
        <v>57</v>
      </c>
      <c r="C10" s="144"/>
      <c r="D10" s="144">
        <f t="shared" ref="D10:D26" si="5">E10+N10+S10+Q10</f>
        <v>57</v>
      </c>
      <c r="E10" s="169">
        <f t="shared" ref="E10:E26" si="6">SUM(F10:M10)</f>
        <v>42</v>
      </c>
      <c r="F10" s="42">
        <v>17</v>
      </c>
      <c r="G10" s="42">
        <v>2</v>
      </c>
      <c r="H10" s="42">
        <v>2</v>
      </c>
      <c r="I10" s="42">
        <v>9</v>
      </c>
      <c r="J10" s="42">
        <v>2</v>
      </c>
      <c r="K10" s="42">
        <v>6</v>
      </c>
      <c r="L10" s="42"/>
      <c r="M10" s="42">
        <v>4</v>
      </c>
      <c r="N10" s="170">
        <f t="shared" si="2"/>
        <v>5</v>
      </c>
      <c r="O10" s="42">
        <v>1</v>
      </c>
      <c r="P10" s="42">
        <v>4</v>
      </c>
      <c r="Q10" s="169">
        <f t="shared" si="3"/>
        <v>4</v>
      </c>
      <c r="R10" s="42">
        <v>4</v>
      </c>
      <c r="S10" s="169">
        <f t="shared" si="4"/>
        <v>6</v>
      </c>
      <c r="T10" s="159">
        <v>6</v>
      </c>
      <c r="U10" s="347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348"/>
      <c r="AO10" s="348"/>
      <c r="AP10" s="348"/>
      <c r="AQ10" s="348"/>
      <c r="AR10" s="348"/>
      <c r="AS10" s="348"/>
      <c r="AT10" s="348"/>
      <c r="AU10" s="348"/>
      <c r="AV10" s="348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8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348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</row>
    <row r="11" spans="1:133" s="349" customFormat="1" ht="20.100000000000001" customHeight="1">
      <c r="A11" s="210" t="s">
        <v>786</v>
      </c>
      <c r="B11" s="152">
        <f t="shared" si="0"/>
        <v>1</v>
      </c>
      <c r="C11" s="144"/>
      <c r="D11" s="144">
        <f t="shared" si="5"/>
        <v>1</v>
      </c>
      <c r="E11" s="169">
        <f t="shared" si="6"/>
        <v>1</v>
      </c>
      <c r="F11" s="42"/>
      <c r="G11" s="42"/>
      <c r="H11" s="42"/>
      <c r="I11" s="42"/>
      <c r="J11" s="42"/>
      <c r="K11" s="42"/>
      <c r="L11" s="42">
        <v>1</v>
      </c>
      <c r="M11" s="42"/>
      <c r="N11" s="169"/>
      <c r="O11" s="42"/>
      <c r="P11" s="42"/>
      <c r="Q11" s="169"/>
      <c r="R11" s="42"/>
      <c r="S11" s="169"/>
      <c r="T11" s="159"/>
      <c r="U11" s="347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348"/>
      <c r="AN11" s="348"/>
      <c r="AO11" s="348"/>
      <c r="AP11" s="348"/>
      <c r="AQ11" s="348"/>
      <c r="AR11" s="348"/>
      <c r="AS11" s="348"/>
      <c r="AT11" s="348"/>
      <c r="AU11" s="348"/>
      <c r="AV11" s="348"/>
      <c r="AW11" s="348"/>
      <c r="AX11" s="348"/>
      <c r="AY11" s="348"/>
      <c r="AZ11" s="348"/>
      <c r="BA11" s="348"/>
      <c r="BB11" s="348"/>
      <c r="BC11" s="348"/>
      <c r="BD11" s="348"/>
      <c r="BE11" s="348"/>
      <c r="BF11" s="348"/>
      <c r="BG11" s="348"/>
      <c r="BH11" s="348"/>
      <c r="BI11" s="348"/>
      <c r="BJ11" s="348"/>
      <c r="BK11" s="348"/>
      <c r="BL11" s="348"/>
      <c r="BM11" s="348"/>
      <c r="BN11" s="348"/>
      <c r="BO11" s="348"/>
      <c r="BP11" s="348"/>
      <c r="BQ11" s="348"/>
      <c r="BR11" s="348"/>
      <c r="BS11" s="348"/>
      <c r="BT11" s="348"/>
      <c r="BU11" s="348"/>
      <c r="BV11" s="348"/>
      <c r="BW11" s="348"/>
      <c r="BX11" s="348"/>
      <c r="BY11" s="348"/>
      <c r="BZ11" s="348"/>
      <c r="CA11" s="348"/>
      <c r="CB11" s="348"/>
      <c r="CC11" s="348"/>
      <c r="CD11" s="348"/>
      <c r="CE11" s="348"/>
      <c r="CF11" s="348"/>
      <c r="CG11" s="348"/>
      <c r="CH11" s="348"/>
      <c r="CI11" s="348"/>
      <c r="CJ11" s="348"/>
      <c r="CK11" s="348"/>
      <c r="CL11" s="348"/>
      <c r="CM11" s="348"/>
      <c r="CN11" s="348"/>
      <c r="CO11" s="348"/>
      <c r="CP11" s="348"/>
      <c r="CQ11" s="348"/>
      <c r="CR11" s="348"/>
      <c r="CS11" s="348"/>
      <c r="CT11" s="348"/>
      <c r="CU11" s="348"/>
      <c r="CV11" s="348"/>
      <c r="CW11" s="348"/>
      <c r="CX11" s="348"/>
      <c r="CY11" s="348"/>
      <c r="CZ11" s="348"/>
      <c r="DA11" s="348"/>
      <c r="DB11" s="348"/>
      <c r="DC11" s="348"/>
      <c r="DD11" s="348"/>
      <c r="DE11" s="348"/>
      <c r="DF11" s="348"/>
      <c r="DG11" s="348"/>
      <c r="DH11" s="348"/>
      <c r="DI11" s="348"/>
      <c r="DJ11" s="348"/>
      <c r="DK11" s="348"/>
      <c r="DL11" s="348"/>
      <c r="DM11" s="348"/>
      <c r="DN11" s="348"/>
      <c r="DO11" s="348"/>
      <c r="DP11" s="348"/>
      <c r="DQ11" s="348"/>
      <c r="DR11" s="348"/>
      <c r="DS11" s="348"/>
      <c r="DT11" s="348"/>
      <c r="DU11" s="348"/>
      <c r="DV11" s="348"/>
      <c r="DW11" s="348"/>
      <c r="DX11" s="348"/>
      <c r="DY11" s="348"/>
      <c r="DZ11" s="348"/>
      <c r="EA11" s="348"/>
    </row>
    <row r="12" spans="1:133" s="349" customFormat="1" ht="20.100000000000001" customHeight="1">
      <c r="A12" s="211" t="s">
        <v>113</v>
      </c>
      <c r="B12" s="152">
        <f t="shared" si="0"/>
        <v>19</v>
      </c>
      <c r="C12" s="144"/>
      <c r="D12" s="144">
        <f t="shared" si="5"/>
        <v>19</v>
      </c>
      <c r="E12" s="169">
        <f t="shared" si="6"/>
        <v>11</v>
      </c>
      <c r="F12" s="41"/>
      <c r="G12" s="41"/>
      <c r="H12" s="41">
        <v>1</v>
      </c>
      <c r="I12" s="41">
        <v>1</v>
      </c>
      <c r="J12" s="41"/>
      <c r="K12" s="41"/>
      <c r="L12" s="41">
        <v>6</v>
      </c>
      <c r="M12" s="41">
        <v>3</v>
      </c>
      <c r="N12" s="169">
        <f t="shared" si="2"/>
        <v>0</v>
      </c>
      <c r="O12" s="41"/>
      <c r="P12" s="41"/>
      <c r="Q12" s="169">
        <f t="shared" si="3"/>
        <v>2</v>
      </c>
      <c r="R12" s="41">
        <v>2</v>
      </c>
      <c r="S12" s="169">
        <f t="shared" si="4"/>
        <v>6</v>
      </c>
      <c r="T12" s="44">
        <v>6</v>
      </c>
      <c r="U12" s="350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8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348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</row>
    <row r="13" spans="1:133" s="349" customFormat="1" ht="20.100000000000001" customHeight="1">
      <c r="A13" s="210" t="s">
        <v>114</v>
      </c>
      <c r="B13" s="152">
        <f t="shared" si="0"/>
        <v>19</v>
      </c>
      <c r="C13" s="144"/>
      <c r="D13" s="144">
        <f t="shared" si="5"/>
        <v>19</v>
      </c>
      <c r="E13" s="169">
        <f t="shared" si="6"/>
        <v>11</v>
      </c>
      <c r="F13" s="42"/>
      <c r="G13" s="42"/>
      <c r="H13" s="42">
        <v>1</v>
      </c>
      <c r="I13" s="42">
        <v>1</v>
      </c>
      <c r="J13" s="42"/>
      <c r="K13" s="42"/>
      <c r="L13" s="159">
        <v>6</v>
      </c>
      <c r="M13" s="42">
        <v>3</v>
      </c>
      <c r="N13" s="169">
        <f t="shared" si="2"/>
        <v>0</v>
      </c>
      <c r="O13" s="42"/>
      <c r="P13" s="42"/>
      <c r="Q13" s="169">
        <f t="shared" si="3"/>
        <v>2</v>
      </c>
      <c r="R13" s="159">
        <v>2</v>
      </c>
      <c r="S13" s="169">
        <f t="shared" si="4"/>
        <v>6</v>
      </c>
      <c r="T13" s="159">
        <v>6</v>
      </c>
      <c r="U13" s="347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8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348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</row>
    <row r="14" spans="1:133" s="349" customFormat="1" ht="20.100000000000001" customHeight="1">
      <c r="A14" s="210" t="s">
        <v>511</v>
      </c>
      <c r="B14" s="152">
        <f t="shared" si="0"/>
        <v>19</v>
      </c>
      <c r="C14" s="144"/>
      <c r="D14" s="144">
        <f t="shared" si="5"/>
        <v>19</v>
      </c>
      <c r="E14" s="169">
        <f t="shared" si="6"/>
        <v>11</v>
      </c>
      <c r="F14" s="42"/>
      <c r="G14" s="42"/>
      <c r="H14" s="42">
        <v>1</v>
      </c>
      <c r="I14" s="42">
        <v>1</v>
      </c>
      <c r="J14" s="42"/>
      <c r="K14" s="42"/>
      <c r="L14" s="159">
        <v>6</v>
      </c>
      <c r="M14" s="42">
        <v>3</v>
      </c>
      <c r="N14" s="169">
        <f t="shared" si="2"/>
        <v>0</v>
      </c>
      <c r="O14" s="42"/>
      <c r="P14" s="42"/>
      <c r="Q14" s="169">
        <f t="shared" si="3"/>
        <v>2</v>
      </c>
      <c r="R14" s="159">
        <v>2</v>
      </c>
      <c r="S14" s="169">
        <f t="shared" si="4"/>
        <v>6</v>
      </c>
      <c r="T14" s="159">
        <v>6</v>
      </c>
      <c r="U14" s="347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48"/>
      <c r="BW14" s="348"/>
      <c r="BX14" s="348"/>
      <c r="BY14" s="348"/>
      <c r="BZ14" s="348"/>
      <c r="CA14" s="348"/>
      <c r="CB14" s="348"/>
      <c r="CC14" s="348"/>
      <c r="CD14" s="348"/>
      <c r="CE14" s="348"/>
      <c r="CF14" s="348"/>
      <c r="CG14" s="348"/>
      <c r="CH14" s="348"/>
      <c r="CI14" s="348"/>
      <c r="CJ14" s="348"/>
      <c r="CK14" s="348"/>
      <c r="CL14" s="348"/>
      <c r="CM14" s="348"/>
      <c r="CN14" s="348"/>
      <c r="CO14" s="348"/>
      <c r="CP14" s="348"/>
      <c r="CQ14" s="348"/>
      <c r="CR14" s="348"/>
      <c r="CS14" s="348"/>
      <c r="CT14" s="348"/>
      <c r="CU14" s="348"/>
      <c r="CV14" s="348"/>
      <c r="CW14" s="348"/>
      <c r="CX14" s="348"/>
      <c r="CY14" s="348"/>
      <c r="CZ14" s="348"/>
      <c r="DA14" s="348"/>
      <c r="DB14" s="348"/>
      <c r="DC14" s="348"/>
      <c r="DD14" s="348"/>
      <c r="DE14" s="348"/>
      <c r="DF14" s="348"/>
      <c r="DG14" s="348"/>
      <c r="DH14" s="348"/>
      <c r="DI14" s="348"/>
      <c r="DJ14" s="348"/>
      <c r="DK14" s="348"/>
      <c r="DL14" s="348"/>
      <c r="DM14" s="348"/>
      <c r="DN14" s="348"/>
      <c r="DO14" s="348"/>
      <c r="DP14" s="348"/>
      <c r="DQ14" s="348"/>
      <c r="DR14" s="348"/>
      <c r="DS14" s="348"/>
      <c r="DT14" s="348"/>
      <c r="DU14" s="348"/>
      <c r="DV14" s="348"/>
      <c r="DW14" s="348"/>
      <c r="DX14" s="348"/>
      <c r="DY14" s="348"/>
      <c r="DZ14" s="348"/>
      <c r="EA14" s="348"/>
    </row>
    <row r="15" spans="1:133" ht="20.100000000000001" customHeight="1">
      <c r="A15" s="212" t="s">
        <v>512</v>
      </c>
      <c r="B15" s="145">
        <f t="shared" si="0"/>
        <v>6</v>
      </c>
      <c r="C15" s="145"/>
      <c r="D15" s="145">
        <f t="shared" si="5"/>
        <v>6</v>
      </c>
      <c r="E15" s="174">
        <f t="shared" si="6"/>
        <v>6</v>
      </c>
      <c r="F15" s="47"/>
      <c r="G15" s="47"/>
      <c r="H15" s="47"/>
      <c r="I15" s="47"/>
      <c r="J15" s="47">
        <v>1</v>
      </c>
      <c r="K15" s="47"/>
      <c r="L15" s="47">
        <v>3</v>
      </c>
      <c r="M15" s="47">
        <v>2</v>
      </c>
      <c r="N15" s="167">
        <f t="shared" si="2"/>
        <v>0</v>
      </c>
      <c r="O15" s="47"/>
      <c r="P15" s="47"/>
      <c r="Q15" s="174">
        <f t="shared" si="3"/>
        <v>0</v>
      </c>
      <c r="R15" s="47"/>
      <c r="S15" s="174">
        <f t="shared" si="4"/>
        <v>0</v>
      </c>
      <c r="T15" s="160"/>
      <c r="U15" s="291"/>
      <c r="EB15" s="4"/>
      <c r="EC15" s="4"/>
    </row>
    <row r="16" spans="1:133" s="349" customFormat="1" ht="93.75">
      <c r="A16" s="213" t="s">
        <v>57</v>
      </c>
      <c r="B16" s="428">
        <f t="shared" si="0"/>
        <v>74</v>
      </c>
      <c r="C16" s="428"/>
      <c r="D16" s="428">
        <f t="shared" si="5"/>
        <v>74</v>
      </c>
      <c r="E16" s="429">
        <f t="shared" si="6"/>
        <v>51</v>
      </c>
      <c r="F16" s="84">
        <f t="shared" ref="F16:M16" si="7">SUM(F17:F20)</f>
        <v>9</v>
      </c>
      <c r="G16" s="84">
        <f t="shared" si="7"/>
        <v>2</v>
      </c>
      <c r="H16" s="84">
        <f t="shared" si="7"/>
        <v>3</v>
      </c>
      <c r="I16" s="84">
        <f t="shared" si="7"/>
        <v>10</v>
      </c>
      <c r="J16" s="84">
        <f t="shared" si="7"/>
        <v>3</v>
      </c>
      <c r="K16" s="84">
        <f t="shared" si="7"/>
        <v>5</v>
      </c>
      <c r="L16" s="84">
        <f t="shared" si="7"/>
        <v>10</v>
      </c>
      <c r="M16" s="84">
        <f t="shared" si="7"/>
        <v>9</v>
      </c>
      <c r="N16" s="429">
        <f t="shared" si="2"/>
        <v>5</v>
      </c>
      <c r="O16" s="84">
        <f>SUM(O17:O20)</f>
        <v>1</v>
      </c>
      <c r="P16" s="84">
        <f>SUM(P17:P20)</f>
        <v>4</v>
      </c>
      <c r="Q16" s="429">
        <f t="shared" si="3"/>
        <v>6</v>
      </c>
      <c r="R16" s="84">
        <f>SUM(R17:R20)</f>
        <v>6</v>
      </c>
      <c r="S16" s="429">
        <f t="shared" si="4"/>
        <v>12</v>
      </c>
      <c r="T16" s="84">
        <f>SUM(T17:T20)</f>
        <v>12</v>
      </c>
      <c r="U16" s="295"/>
      <c r="V16" s="348"/>
      <c r="W16" s="348"/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</row>
    <row r="17" spans="1:133" s="349" customFormat="1" ht="20.100000000000001" customHeight="1">
      <c r="A17" s="211" t="s">
        <v>112</v>
      </c>
      <c r="B17" s="152">
        <f t="shared" si="0"/>
        <v>48</v>
      </c>
      <c r="C17" s="152"/>
      <c r="D17" s="152">
        <f t="shared" si="5"/>
        <v>48</v>
      </c>
      <c r="E17" s="170">
        <f t="shared" si="6"/>
        <v>33</v>
      </c>
      <c r="F17" s="41">
        <v>9</v>
      </c>
      <c r="G17" s="41">
        <v>2</v>
      </c>
      <c r="H17" s="41">
        <v>2</v>
      </c>
      <c r="I17" s="41">
        <v>9</v>
      </c>
      <c r="J17" s="41">
        <v>2</v>
      </c>
      <c r="K17" s="41">
        <v>5</v>
      </c>
      <c r="L17" s="41"/>
      <c r="M17" s="41">
        <v>4</v>
      </c>
      <c r="N17" s="733">
        <f t="shared" si="2"/>
        <v>5</v>
      </c>
      <c r="O17" s="41">
        <v>1</v>
      </c>
      <c r="P17" s="41">
        <v>4</v>
      </c>
      <c r="Q17" s="170">
        <f t="shared" si="3"/>
        <v>4</v>
      </c>
      <c r="R17" s="41">
        <v>4</v>
      </c>
      <c r="S17" s="170">
        <f t="shared" si="4"/>
        <v>6</v>
      </c>
      <c r="T17" s="41">
        <v>6</v>
      </c>
      <c r="U17" s="351"/>
      <c r="V17" s="348"/>
      <c r="W17" s="348"/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348"/>
      <c r="BH17" s="348"/>
      <c r="BI17" s="348"/>
      <c r="BJ17" s="348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</row>
    <row r="18" spans="1:133" s="349" customFormat="1" ht="20.100000000000001" customHeight="1">
      <c r="A18" s="211" t="s">
        <v>786</v>
      </c>
      <c r="B18" s="752">
        <f t="shared" si="0"/>
        <v>1</v>
      </c>
      <c r="C18" s="152"/>
      <c r="D18" s="752">
        <f t="shared" si="5"/>
        <v>1</v>
      </c>
      <c r="E18" s="170">
        <f t="shared" si="6"/>
        <v>1</v>
      </c>
      <c r="F18" s="41"/>
      <c r="G18" s="41"/>
      <c r="H18" s="41"/>
      <c r="I18" s="41"/>
      <c r="J18" s="41"/>
      <c r="K18" s="41"/>
      <c r="L18" s="41">
        <v>1</v>
      </c>
      <c r="M18" s="41"/>
      <c r="N18" s="733"/>
      <c r="O18" s="41"/>
      <c r="P18" s="41"/>
      <c r="Q18" s="170"/>
      <c r="R18" s="41"/>
      <c r="S18" s="170"/>
      <c r="T18" s="41"/>
      <c r="U18" s="351"/>
      <c r="V18" s="348"/>
      <c r="W18" s="348"/>
      <c r="X18" s="348"/>
      <c r="Y18" s="348"/>
      <c r="Z18" s="348"/>
      <c r="AA18" s="348"/>
      <c r="AB18" s="348"/>
      <c r="AC18" s="348"/>
      <c r="AD18" s="348"/>
      <c r="AE18" s="348"/>
      <c r="AF18" s="348"/>
      <c r="AG18" s="348"/>
      <c r="AH18" s="348"/>
      <c r="AI18" s="348"/>
      <c r="AJ18" s="348"/>
      <c r="AK18" s="348"/>
      <c r="AL18" s="348"/>
      <c r="AM18" s="348"/>
      <c r="AN18" s="348"/>
      <c r="AO18" s="348"/>
      <c r="AP18" s="348"/>
      <c r="AQ18" s="348"/>
      <c r="AR18" s="348"/>
      <c r="AS18" s="34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</row>
    <row r="19" spans="1:133" s="349" customFormat="1" ht="20.100000000000001" customHeight="1">
      <c r="A19" s="211" t="s">
        <v>58</v>
      </c>
      <c r="B19" s="152">
        <f t="shared" si="0"/>
        <v>19</v>
      </c>
      <c r="C19" s="152"/>
      <c r="D19" s="152">
        <f t="shared" si="5"/>
        <v>19</v>
      </c>
      <c r="E19" s="170">
        <f t="shared" si="6"/>
        <v>11</v>
      </c>
      <c r="F19" s="41"/>
      <c r="G19" s="41"/>
      <c r="H19" s="41">
        <v>1</v>
      </c>
      <c r="I19" s="41">
        <v>1</v>
      </c>
      <c r="J19" s="41"/>
      <c r="K19" s="41"/>
      <c r="L19" s="41">
        <v>6</v>
      </c>
      <c r="M19" s="41">
        <v>3</v>
      </c>
      <c r="N19" s="733">
        <f t="shared" si="2"/>
        <v>0</v>
      </c>
      <c r="O19" s="41"/>
      <c r="P19" s="41"/>
      <c r="Q19" s="170">
        <f t="shared" si="3"/>
        <v>2</v>
      </c>
      <c r="R19" s="41">
        <v>2</v>
      </c>
      <c r="S19" s="170">
        <f t="shared" si="4"/>
        <v>6</v>
      </c>
      <c r="T19" s="41">
        <v>6</v>
      </c>
      <c r="U19" s="350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</row>
    <row r="20" spans="1:133" ht="20.100000000000001" customHeight="1">
      <c r="A20" s="212" t="s">
        <v>512</v>
      </c>
      <c r="B20" s="145">
        <f t="shared" si="0"/>
        <v>6</v>
      </c>
      <c r="C20" s="145"/>
      <c r="D20" s="145">
        <f t="shared" si="5"/>
        <v>6</v>
      </c>
      <c r="E20" s="174">
        <f t="shared" si="6"/>
        <v>6</v>
      </c>
      <c r="F20" s="47"/>
      <c r="G20" s="47"/>
      <c r="H20" s="47"/>
      <c r="I20" s="47"/>
      <c r="J20" s="47">
        <v>1</v>
      </c>
      <c r="K20" s="47"/>
      <c r="L20" s="47">
        <v>3</v>
      </c>
      <c r="M20" s="47">
        <v>2</v>
      </c>
      <c r="N20" s="174">
        <f t="shared" si="2"/>
        <v>0</v>
      </c>
      <c r="O20" s="47"/>
      <c r="P20" s="47"/>
      <c r="Q20" s="174">
        <f t="shared" si="3"/>
        <v>0</v>
      </c>
      <c r="R20" s="47"/>
      <c r="S20" s="174">
        <f t="shared" si="4"/>
        <v>0</v>
      </c>
      <c r="T20" s="47"/>
      <c r="U20" s="291"/>
      <c r="EB20" s="4"/>
      <c r="EC20" s="4"/>
    </row>
    <row r="21" spans="1:133" ht="93.75" customHeight="1">
      <c r="A21" s="213" t="s">
        <v>204</v>
      </c>
      <c r="B21" s="262">
        <f t="shared" si="0"/>
        <v>25</v>
      </c>
      <c r="C21" s="262"/>
      <c r="D21" s="144">
        <f t="shared" si="5"/>
        <v>25</v>
      </c>
      <c r="E21" s="169">
        <f t="shared" si="6"/>
        <v>17</v>
      </c>
      <c r="F21" s="84"/>
      <c r="G21" s="84"/>
      <c r="H21" s="84">
        <v>1</v>
      </c>
      <c r="I21" s="84">
        <v>1</v>
      </c>
      <c r="J21" s="84">
        <f>SUM(J22:J23)</f>
        <v>1</v>
      </c>
      <c r="K21" s="84"/>
      <c r="L21" s="84">
        <f>SUM(L22:L23)</f>
        <v>9</v>
      </c>
      <c r="M21" s="84">
        <f>SUM(M22:M23)</f>
        <v>5</v>
      </c>
      <c r="N21" s="169">
        <f t="shared" si="2"/>
        <v>0</v>
      </c>
      <c r="O21" s="84"/>
      <c r="P21" s="84"/>
      <c r="Q21" s="169">
        <f t="shared" si="3"/>
        <v>2</v>
      </c>
      <c r="R21" s="84">
        <v>2</v>
      </c>
      <c r="S21" s="169">
        <f t="shared" si="4"/>
        <v>6</v>
      </c>
      <c r="T21" s="84">
        <v>6</v>
      </c>
      <c r="U21" s="295"/>
      <c r="EB21" s="4"/>
      <c r="EC21" s="4"/>
    </row>
    <row r="22" spans="1:133" ht="20.100000000000001" customHeight="1">
      <c r="A22" s="210" t="s">
        <v>58</v>
      </c>
      <c r="B22" s="263">
        <f t="shared" si="0"/>
        <v>19</v>
      </c>
      <c r="C22" s="262"/>
      <c r="D22" s="144">
        <f t="shared" si="5"/>
        <v>19</v>
      </c>
      <c r="E22" s="169">
        <f t="shared" si="6"/>
        <v>11</v>
      </c>
      <c r="F22" s="42"/>
      <c r="G22" s="42"/>
      <c r="H22" s="42">
        <v>1</v>
      </c>
      <c r="I22" s="42">
        <v>1</v>
      </c>
      <c r="J22" s="42"/>
      <c r="K22" s="42"/>
      <c r="L22" s="42">
        <v>6</v>
      </c>
      <c r="M22" s="42">
        <v>3</v>
      </c>
      <c r="N22" s="169">
        <f t="shared" si="2"/>
        <v>0</v>
      </c>
      <c r="O22" s="42"/>
      <c r="P22" s="42"/>
      <c r="Q22" s="169">
        <f t="shared" si="3"/>
        <v>2</v>
      </c>
      <c r="R22" s="42">
        <v>2</v>
      </c>
      <c r="S22" s="169">
        <f t="shared" si="4"/>
        <v>6</v>
      </c>
      <c r="T22" s="42">
        <v>6</v>
      </c>
      <c r="U22" s="293"/>
      <c r="EB22" s="4"/>
      <c r="EC22" s="4"/>
    </row>
    <row r="23" spans="1:133" ht="20.100000000000001" customHeight="1">
      <c r="A23" s="212" t="s">
        <v>512</v>
      </c>
      <c r="B23" s="264">
        <f t="shared" si="0"/>
        <v>6</v>
      </c>
      <c r="C23" s="264"/>
      <c r="D23" s="145">
        <f t="shared" si="5"/>
        <v>6</v>
      </c>
      <c r="E23" s="174">
        <f t="shared" si="6"/>
        <v>6</v>
      </c>
      <c r="F23" s="47"/>
      <c r="G23" s="47"/>
      <c r="H23" s="47"/>
      <c r="I23" s="47"/>
      <c r="J23" s="47">
        <v>1</v>
      </c>
      <c r="K23" s="47"/>
      <c r="L23" s="47">
        <v>3</v>
      </c>
      <c r="M23" s="47">
        <v>2</v>
      </c>
      <c r="N23" s="174">
        <f t="shared" si="2"/>
        <v>0</v>
      </c>
      <c r="O23" s="47"/>
      <c r="P23" s="47"/>
      <c r="Q23" s="174">
        <f t="shared" si="3"/>
        <v>0</v>
      </c>
      <c r="R23" s="47"/>
      <c r="S23" s="174">
        <f t="shared" si="4"/>
        <v>0</v>
      </c>
      <c r="T23" s="47"/>
      <c r="U23" s="291"/>
      <c r="EB23" s="4"/>
      <c r="EC23" s="4"/>
    </row>
    <row r="24" spans="1:133" ht="93.75">
      <c r="A24" s="214" t="s">
        <v>205</v>
      </c>
      <c r="B24" s="262">
        <f t="shared" si="0"/>
        <v>17</v>
      </c>
      <c r="C24" s="262"/>
      <c r="D24" s="144">
        <f t="shared" si="5"/>
        <v>17</v>
      </c>
      <c r="E24" s="169">
        <f t="shared" si="6"/>
        <v>11</v>
      </c>
      <c r="F24" s="83"/>
      <c r="G24" s="83"/>
      <c r="H24" s="83">
        <v>1</v>
      </c>
      <c r="I24" s="83"/>
      <c r="J24" s="83">
        <v>1</v>
      </c>
      <c r="K24" s="83"/>
      <c r="L24" s="83">
        <f>SUM(L25:L26)</f>
        <v>9</v>
      </c>
      <c r="M24" s="83"/>
      <c r="N24" s="169">
        <f t="shared" si="2"/>
        <v>0</v>
      </c>
      <c r="O24" s="83"/>
      <c r="P24" s="83"/>
      <c r="Q24" s="169">
        <f t="shared" si="3"/>
        <v>0</v>
      </c>
      <c r="R24" s="83"/>
      <c r="S24" s="169">
        <f t="shared" si="4"/>
        <v>6</v>
      </c>
      <c r="T24" s="83">
        <v>6</v>
      </c>
      <c r="U24" s="292"/>
      <c r="EB24" s="4"/>
      <c r="EC24" s="4"/>
    </row>
    <row r="25" spans="1:133" ht="20.100000000000001" customHeight="1">
      <c r="A25" s="215" t="s">
        <v>58</v>
      </c>
      <c r="B25" s="263">
        <f t="shared" si="0"/>
        <v>13</v>
      </c>
      <c r="C25" s="262"/>
      <c r="D25" s="144">
        <f t="shared" si="5"/>
        <v>13</v>
      </c>
      <c r="E25" s="169">
        <f t="shared" si="6"/>
        <v>7</v>
      </c>
      <c r="F25" s="42"/>
      <c r="G25" s="42"/>
      <c r="H25" s="42">
        <v>1</v>
      </c>
      <c r="I25" s="42"/>
      <c r="J25" s="42"/>
      <c r="K25" s="42"/>
      <c r="L25" s="42">
        <v>6</v>
      </c>
      <c r="M25" s="42" t="s">
        <v>50</v>
      </c>
      <c r="N25" s="169">
        <f t="shared" si="2"/>
        <v>0</v>
      </c>
      <c r="O25" s="42"/>
      <c r="P25" s="42"/>
      <c r="Q25" s="169">
        <f t="shared" si="3"/>
        <v>0</v>
      </c>
      <c r="R25" s="42"/>
      <c r="S25" s="169">
        <f t="shared" si="4"/>
        <v>6</v>
      </c>
      <c r="T25" s="159">
        <v>6</v>
      </c>
      <c r="U25" s="293"/>
      <c r="EB25" s="4"/>
      <c r="EC25" s="4"/>
    </row>
    <row r="26" spans="1:133" ht="20.100000000000001" customHeight="1">
      <c r="A26" s="216" t="s">
        <v>512</v>
      </c>
      <c r="B26" s="264">
        <f t="shared" si="0"/>
        <v>4</v>
      </c>
      <c r="C26" s="264"/>
      <c r="D26" s="145">
        <f t="shared" si="5"/>
        <v>4</v>
      </c>
      <c r="E26" s="169">
        <f t="shared" si="6"/>
        <v>4</v>
      </c>
      <c r="F26" s="47"/>
      <c r="G26" s="47"/>
      <c r="H26" s="47"/>
      <c r="I26" s="47"/>
      <c r="J26" s="47">
        <v>1</v>
      </c>
      <c r="K26" s="47"/>
      <c r="L26" s="47">
        <v>3</v>
      </c>
      <c r="M26" s="47"/>
      <c r="N26" s="174">
        <f t="shared" si="2"/>
        <v>0</v>
      </c>
      <c r="O26" s="47"/>
      <c r="P26" s="47"/>
      <c r="Q26" s="174">
        <f t="shared" si="3"/>
        <v>0</v>
      </c>
      <c r="R26" s="47"/>
      <c r="S26" s="174">
        <f t="shared" si="4"/>
        <v>0</v>
      </c>
      <c r="T26" s="47"/>
      <c r="U26" s="291"/>
      <c r="EB26" s="4"/>
      <c r="EC26" s="4"/>
    </row>
    <row r="27" spans="1:133" s="29" customFormat="1" ht="112.5">
      <c r="A27" s="213" t="s">
        <v>649</v>
      </c>
      <c r="B27" s="568">
        <f>D27</f>
        <v>4.32</v>
      </c>
      <c r="C27" s="265"/>
      <c r="D27" s="146">
        <v>4.32</v>
      </c>
      <c r="E27" s="177">
        <f>AVERAGE(F27:M27)</f>
        <v>4.32</v>
      </c>
      <c r="F27" s="89">
        <f t="shared" ref="F27:K27" si="8">F28</f>
        <v>4.3</v>
      </c>
      <c r="G27" s="89">
        <f t="shared" si="8"/>
        <v>4.29</v>
      </c>
      <c r="H27" s="89">
        <f t="shared" si="8"/>
        <v>4.16</v>
      </c>
      <c r="I27" s="89">
        <f t="shared" si="8"/>
        <v>4.32</v>
      </c>
      <c r="J27" s="89">
        <f t="shared" si="8"/>
        <v>4.24</v>
      </c>
      <c r="K27" s="89">
        <f t="shared" si="8"/>
        <v>4.34</v>
      </c>
      <c r="L27" s="423">
        <v>4.41</v>
      </c>
      <c r="M27" s="423">
        <v>4.5</v>
      </c>
      <c r="N27" s="177">
        <f>AVERAGE(O27:P27)</f>
        <v>4.3599999999999994</v>
      </c>
      <c r="O27" s="89">
        <f>O28</f>
        <v>4.33</v>
      </c>
      <c r="P27" s="89">
        <f>P28</f>
        <v>4.3899999999999997</v>
      </c>
      <c r="Q27" s="177">
        <f>AVERAGE(R27:R27)</f>
        <v>4.37</v>
      </c>
      <c r="R27" s="423">
        <v>4.37</v>
      </c>
      <c r="S27" s="177">
        <f>AVERAGE(T27:T27)</f>
        <v>4.3099999999999996</v>
      </c>
      <c r="T27" s="89">
        <f>T28</f>
        <v>4.3099999999999996</v>
      </c>
      <c r="U27" s="297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</row>
    <row r="28" spans="1:133" ht="20.100000000000001" customHeight="1">
      <c r="A28" s="217" t="s">
        <v>206</v>
      </c>
      <c r="B28" s="569">
        <f t="shared" ref="B28:B30" si="9">D28</f>
        <v>4.3099999999999996</v>
      </c>
      <c r="C28" s="266"/>
      <c r="D28" s="638">
        <v>4.3099999999999996</v>
      </c>
      <c r="E28" s="171">
        <f>AVERAGE(F28:M28)</f>
        <v>4.3071428571428578</v>
      </c>
      <c r="F28" s="35">
        <v>4.3</v>
      </c>
      <c r="G28" s="35">
        <v>4.29</v>
      </c>
      <c r="H28" s="35">
        <v>4.16</v>
      </c>
      <c r="I28" s="35">
        <v>4.32</v>
      </c>
      <c r="J28" s="35">
        <v>4.24</v>
      </c>
      <c r="K28" s="35">
        <v>4.34</v>
      </c>
      <c r="L28" s="35" t="s">
        <v>50</v>
      </c>
      <c r="M28" s="35">
        <v>4.5</v>
      </c>
      <c r="N28" s="171">
        <f>AVERAGE(O28:P28)</f>
        <v>4.3599999999999994</v>
      </c>
      <c r="O28" s="35">
        <v>4.33</v>
      </c>
      <c r="P28" s="35">
        <v>4.3899999999999997</v>
      </c>
      <c r="Q28" s="171">
        <f>AVERAGE(R28:R28)</f>
        <v>4.25</v>
      </c>
      <c r="R28" s="35">
        <v>4.25</v>
      </c>
      <c r="S28" s="171">
        <f>AVERAGE(T28:T28)</f>
        <v>4.3099999999999996</v>
      </c>
      <c r="T28" s="35">
        <v>4.3099999999999996</v>
      </c>
      <c r="U28" s="298"/>
      <c r="EB28" s="4"/>
      <c r="EC28" s="4"/>
    </row>
    <row r="29" spans="1:133" ht="20.100000000000001" customHeight="1">
      <c r="A29" s="218" t="s">
        <v>209</v>
      </c>
      <c r="B29" s="569">
        <f t="shared" si="9"/>
        <v>4.38</v>
      </c>
      <c r="C29" s="266"/>
      <c r="D29" s="638">
        <v>4.38</v>
      </c>
      <c r="E29" s="171">
        <f>AVERAGE(F29:M29)</f>
        <v>4.4350000000000005</v>
      </c>
      <c r="F29" s="36"/>
      <c r="G29" s="36"/>
      <c r="H29" s="36"/>
      <c r="I29" s="36"/>
      <c r="J29" s="36"/>
      <c r="K29" s="36"/>
      <c r="L29" s="36">
        <v>4.38</v>
      </c>
      <c r="M29" s="36">
        <v>4.49</v>
      </c>
      <c r="N29" s="171"/>
      <c r="O29" s="36"/>
      <c r="P29" s="36"/>
      <c r="Q29" s="171"/>
      <c r="R29" s="36">
        <v>4.58</v>
      </c>
      <c r="S29" s="171"/>
      <c r="T29" s="36">
        <v>4.2699999999999996</v>
      </c>
      <c r="U29" s="299"/>
      <c r="EB29" s="4"/>
      <c r="EC29" s="4"/>
    </row>
    <row r="30" spans="1:133" ht="20.100000000000001" customHeight="1">
      <c r="A30" s="219" t="s">
        <v>210</v>
      </c>
      <c r="B30" s="570">
        <f t="shared" si="9"/>
        <v>4.45</v>
      </c>
      <c r="C30" s="267"/>
      <c r="D30" s="639">
        <v>4.45</v>
      </c>
      <c r="E30" s="172">
        <f>AVERAGE(F30:M30)</f>
        <v>4.585</v>
      </c>
      <c r="F30" s="38"/>
      <c r="G30" s="38"/>
      <c r="H30" s="38"/>
      <c r="I30" s="38"/>
      <c r="J30" s="38"/>
      <c r="K30" s="38"/>
      <c r="L30" s="38">
        <v>4.45</v>
      </c>
      <c r="M30" s="38">
        <v>4.72</v>
      </c>
      <c r="N30" s="172"/>
      <c r="O30" s="38"/>
      <c r="P30" s="38"/>
      <c r="Q30" s="172"/>
      <c r="R30" s="38"/>
      <c r="S30" s="172"/>
      <c r="T30" s="38"/>
      <c r="U30" s="300"/>
      <c r="EB30" s="4"/>
      <c r="EC30" s="4"/>
    </row>
    <row r="31" spans="1:133" ht="112.5">
      <c r="A31" s="220" t="s">
        <v>211</v>
      </c>
      <c r="B31" s="262">
        <f t="shared" ref="B31:B35" si="10">D31</f>
        <v>83</v>
      </c>
      <c r="C31" s="262"/>
      <c r="D31" s="144">
        <f t="shared" ref="D31:D60" si="11">E31+N31+S31+Q31</f>
        <v>83</v>
      </c>
      <c r="E31" s="169">
        <f t="shared" ref="E31:E63" si="12">SUM(F31:M31)</f>
        <v>60</v>
      </c>
      <c r="F31" s="84">
        <f t="shared" ref="F31:M31" si="13">SUM(F32:F35)</f>
        <v>17</v>
      </c>
      <c r="G31" s="84">
        <f t="shared" si="13"/>
        <v>2</v>
      </c>
      <c r="H31" s="84">
        <f t="shared" si="13"/>
        <v>3</v>
      </c>
      <c r="I31" s="84">
        <f t="shared" si="13"/>
        <v>10</v>
      </c>
      <c r="J31" s="84">
        <f t="shared" si="13"/>
        <v>3</v>
      </c>
      <c r="K31" s="84">
        <f t="shared" si="13"/>
        <v>6</v>
      </c>
      <c r="L31" s="84">
        <f t="shared" si="13"/>
        <v>10</v>
      </c>
      <c r="M31" s="84">
        <f t="shared" si="13"/>
        <v>9</v>
      </c>
      <c r="N31" s="169">
        <f t="shared" ref="N31:N35" si="14">SUM(O31:P31)</f>
        <v>5</v>
      </c>
      <c r="O31" s="84">
        <v>1</v>
      </c>
      <c r="P31" s="84">
        <f>SUM(P32:P35)</f>
        <v>4</v>
      </c>
      <c r="Q31" s="169">
        <f t="shared" ref="Q31:Q60" si="15">SUM(R31:R31)</f>
        <v>6</v>
      </c>
      <c r="R31" s="84">
        <f>SUM(R32:R35)</f>
        <v>6</v>
      </c>
      <c r="S31" s="169">
        <f t="shared" ref="S31:S63" si="16">SUM(T31:T31)</f>
        <v>12</v>
      </c>
      <c r="T31" s="84">
        <f>SUM(T32:T35)</f>
        <v>12</v>
      </c>
      <c r="U31" s="295"/>
      <c r="EB31" s="4"/>
      <c r="EC31" s="4"/>
    </row>
    <row r="32" spans="1:133" ht="20.100000000000001" customHeight="1">
      <c r="A32" s="221" t="s">
        <v>112</v>
      </c>
      <c r="B32" s="262">
        <f t="shared" si="10"/>
        <v>57</v>
      </c>
      <c r="C32" s="262"/>
      <c r="D32" s="144">
        <f t="shared" si="11"/>
        <v>57</v>
      </c>
      <c r="E32" s="169">
        <f t="shared" si="12"/>
        <v>42</v>
      </c>
      <c r="F32" s="42">
        <v>17</v>
      </c>
      <c r="G32" s="42">
        <v>2</v>
      </c>
      <c r="H32" s="42">
        <v>2</v>
      </c>
      <c r="I32" s="42">
        <v>9</v>
      </c>
      <c r="J32" s="42">
        <v>2</v>
      </c>
      <c r="K32" s="42">
        <v>6</v>
      </c>
      <c r="L32" s="42"/>
      <c r="M32" s="42">
        <v>4</v>
      </c>
      <c r="N32" s="170">
        <f t="shared" ref="N32" si="17">SUM(O32:P32)</f>
        <v>5</v>
      </c>
      <c r="O32" s="42">
        <v>1</v>
      </c>
      <c r="P32" s="42">
        <v>4</v>
      </c>
      <c r="Q32" s="169">
        <f t="shared" ref="Q32" si="18">SUM(R32:R32)</f>
        <v>4</v>
      </c>
      <c r="R32" s="42">
        <v>4</v>
      </c>
      <c r="S32" s="169">
        <f t="shared" ref="S32" si="19">SUM(T32:T32)</f>
        <v>6</v>
      </c>
      <c r="T32" s="159">
        <v>6</v>
      </c>
      <c r="U32" s="136"/>
      <c r="EB32" s="4"/>
      <c r="EC32" s="4"/>
    </row>
    <row r="33" spans="1:133" s="349" customFormat="1" ht="20.100000000000001" customHeight="1">
      <c r="A33" s="211" t="s">
        <v>786</v>
      </c>
      <c r="B33" s="262">
        <f t="shared" si="10"/>
        <v>1</v>
      </c>
      <c r="C33" s="152"/>
      <c r="D33" s="152">
        <v>1</v>
      </c>
      <c r="E33" s="170">
        <f t="shared" si="12"/>
        <v>1</v>
      </c>
      <c r="F33" s="41"/>
      <c r="G33" s="41"/>
      <c r="H33" s="41"/>
      <c r="I33" s="41"/>
      <c r="J33" s="41"/>
      <c r="K33" s="41"/>
      <c r="L33" s="41">
        <v>1</v>
      </c>
      <c r="M33" s="41"/>
      <c r="N33" s="733">
        <v>1</v>
      </c>
      <c r="O33" s="41"/>
      <c r="P33" s="41"/>
      <c r="Q33" s="170"/>
      <c r="R33" s="41"/>
      <c r="S33" s="170"/>
      <c r="T33" s="41"/>
      <c r="U33" s="351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348"/>
      <c r="AM33" s="348"/>
      <c r="AN33" s="348"/>
      <c r="AO33" s="348"/>
      <c r="AP33" s="348"/>
      <c r="AQ33" s="348"/>
      <c r="AR33" s="348"/>
      <c r="AS33" s="348"/>
      <c r="AT33" s="348"/>
      <c r="AU33" s="348"/>
      <c r="AV33" s="348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348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8"/>
      <c r="CP33" s="348"/>
      <c r="CQ33" s="348"/>
      <c r="CR33" s="348"/>
      <c r="CS33" s="348"/>
      <c r="CT33" s="348"/>
      <c r="CU33" s="348"/>
      <c r="CV33" s="348"/>
      <c r="CW33" s="348"/>
      <c r="CX33" s="348"/>
      <c r="CY33" s="348"/>
      <c r="CZ33" s="348"/>
      <c r="DA33" s="348"/>
      <c r="DB33" s="348"/>
      <c r="DC33" s="348"/>
      <c r="DD33" s="348"/>
      <c r="DE33" s="348"/>
      <c r="DF33" s="348"/>
      <c r="DG33" s="348"/>
      <c r="DH33" s="348"/>
      <c r="DI33" s="348"/>
      <c r="DJ33" s="348"/>
      <c r="DK33" s="348"/>
      <c r="DL33" s="348"/>
      <c r="DM33" s="348"/>
      <c r="DN33" s="348"/>
      <c r="DO33" s="348"/>
      <c r="DP33" s="348"/>
      <c r="DQ33" s="348"/>
      <c r="DR33" s="348"/>
      <c r="DS33" s="348"/>
      <c r="DT33" s="348"/>
      <c r="DU33" s="348"/>
      <c r="DV33" s="348"/>
      <c r="DW33" s="348"/>
      <c r="DX33" s="348"/>
      <c r="DY33" s="348"/>
      <c r="DZ33" s="348"/>
      <c r="EA33" s="348"/>
    </row>
    <row r="34" spans="1:133" ht="20.100000000000001" customHeight="1">
      <c r="A34" s="222" t="s">
        <v>58</v>
      </c>
      <c r="B34" s="262">
        <f t="shared" si="10"/>
        <v>19</v>
      </c>
      <c r="C34" s="262"/>
      <c r="D34" s="144">
        <f t="shared" si="11"/>
        <v>19</v>
      </c>
      <c r="E34" s="169">
        <f t="shared" si="12"/>
        <v>11</v>
      </c>
      <c r="F34" s="41"/>
      <c r="G34" s="41"/>
      <c r="H34" s="41">
        <v>1</v>
      </c>
      <c r="I34" s="41">
        <v>1</v>
      </c>
      <c r="J34" s="41"/>
      <c r="K34" s="41"/>
      <c r="L34" s="41">
        <v>6</v>
      </c>
      <c r="M34" s="41">
        <v>3</v>
      </c>
      <c r="N34" s="170">
        <f t="shared" si="14"/>
        <v>0</v>
      </c>
      <c r="O34" s="41"/>
      <c r="P34" s="41"/>
      <c r="Q34" s="170">
        <f t="shared" si="15"/>
        <v>2</v>
      </c>
      <c r="R34" s="41">
        <v>2</v>
      </c>
      <c r="S34" s="170">
        <f t="shared" si="16"/>
        <v>6</v>
      </c>
      <c r="T34" s="41">
        <v>6</v>
      </c>
      <c r="U34" s="296"/>
      <c r="EB34" s="4"/>
      <c r="EC34" s="4"/>
    </row>
    <row r="35" spans="1:133" ht="20.100000000000001" customHeight="1">
      <c r="A35" s="212" t="s">
        <v>512</v>
      </c>
      <c r="B35" s="264">
        <f t="shared" si="10"/>
        <v>6</v>
      </c>
      <c r="C35" s="260"/>
      <c r="D35" s="145">
        <f t="shared" si="11"/>
        <v>6</v>
      </c>
      <c r="E35" s="174">
        <f t="shared" si="12"/>
        <v>6</v>
      </c>
      <c r="F35" s="47"/>
      <c r="G35" s="47"/>
      <c r="H35" s="47"/>
      <c r="I35" s="47"/>
      <c r="J35" s="47">
        <v>1</v>
      </c>
      <c r="K35" s="47"/>
      <c r="L35" s="47">
        <v>3</v>
      </c>
      <c r="M35" s="47">
        <v>2</v>
      </c>
      <c r="N35" s="167">
        <f t="shared" si="14"/>
        <v>0</v>
      </c>
      <c r="O35" s="47"/>
      <c r="P35" s="47"/>
      <c r="Q35" s="167">
        <f t="shared" si="15"/>
        <v>0</v>
      </c>
      <c r="R35" s="47"/>
      <c r="S35" s="167">
        <f t="shared" si="16"/>
        <v>0</v>
      </c>
      <c r="T35" s="47"/>
      <c r="U35" s="291"/>
      <c r="EB35" s="4"/>
      <c r="EC35" s="4"/>
    </row>
    <row r="36" spans="1:133" ht="37.5">
      <c r="A36" s="223" t="s">
        <v>41</v>
      </c>
      <c r="B36" s="261">
        <f>C36+D36</f>
        <v>26719</v>
      </c>
      <c r="C36" s="261"/>
      <c r="D36" s="143">
        <f>E36+N36+Q36+S36</f>
        <v>26719</v>
      </c>
      <c r="E36" s="168">
        <f t="shared" ref="E36:E41" si="20">SUM(F36:M36)</f>
        <v>19621</v>
      </c>
      <c r="F36" s="734">
        <v>6148</v>
      </c>
      <c r="G36" s="734">
        <v>2017</v>
      </c>
      <c r="H36" s="734">
        <v>394</v>
      </c>
      <c r="I36" s="734">
        <v>2911</v>
      </c>
      <c r="J36" s="735">
        <v>1050</v>
      </c>
      <c r="K36" s="735">
        <v>3734</v>
      </c>
      <c r="L36" s="735">
        <v>3065</v>
      </c>
      <c r="M36" s="735">
        <v>302</v>
      </c>
      <c r="N36" s="736">
        <f>SUM(O36:P36)</f>
        <v>2539</v>
      </c>
      <c r="O36" s="735">
        <v>594</v>
      </c>
      <c r="P36" s="735">
        <v>1945</v>
      </c>
      <c r="Q36" s="736">
        <f>SUM(R36)</f>
        <v>2817</v>
      </c>
      <c r="R36" s="735">
        <v>2817</v>
      </c>
      <c r="S36" s="168">
        <f>T36</f>
        <v>1742</v>
      </c>
      <c r="T36" s="735">
        <v>1742</v>
      </c>
      <c r="U36" s="301"/>
      <c r="EB36" s="4"/>
      <c r="EC36" s="4"/>
    </row>
    <row r="37" spans="1:133" ht="20.100000000000001" customHeight="1">
      <c r="A37" s="224" t="s">
        <v>112</v>
      </c>
      <c r="B37" s="263">
        <f t="shared" ref="B37:B41" si="21">C37+D37</f>
        <v>22752</v>
      </c>
      <c r="C37" s="263"/>
      <c r="D37" s="152">
        <f t="shared" ref="D37:D41" si="22">E37+N37+Q37+S37</f>
        <v>22752</v>
      </c>
      <c r="E37" s="170">
        <f t="shared" si="20"/>
        <v>16293</v>
      </c>
      <c r="F37" s="740">
        <f>F38+F39</f>
        <v>6148</v>
      </c>
      <c r="G37" s="740">
        <f t="shared" ref="G37:R37" si="23">G38+G39</f>
        <v>2017</v>
      </c>
      <c r="H37" s="740">
        <f t="shared" si="23"/>
        <v>269</v>
      </c>
      <c r="I37" s="740">
        <f t="shared" si="23"/>
        <v>2892</v>
      </c>
      <c r="J37" s="740">
        <f t="shared" si="23"/>
        <v>1034</v>
      </c>
      <c r="K37" s="740">
        <f t="shared" si="23"/>
        <v>3734</v>
      </c>
      <c r="L37" s="740" t="s">
        <v>50</v>
      </c>
      <c r="M37" s="740">
        <f t="shared" si="23"/>
        <v>199</v>
      </c>
      <c r="N37" s="741">
        <f t="shared" ref="N37:N41" si="24">SUM(O37:P37)</f>
        <v>2539</v>
      </c>
      <c r="O37" s="740">
        <f t="shared" si="23"/>
        <v>594</v>
      </c>
      <c r="P37" s="740">
        <f t="shared" si="23"/>
        <v>1945</v>
      </c>
      <c r="Q37" s="741">
        <f t="shared" ref="Q37:Q41" si="25">SUM(R37)</f>
        <v>2758</v>
      </c>
      <c r="R37" s="740">
        <f t="shared" si="23"/>
        <v>2758</v>
      </c>
      <c r="S37" s="170">
        <f t="shared" ref="S37:S41" si="26">T37</f>
        <v>1162</v>
      </c>
      <c r="T37" s="740">
        <f>T38+T39</f>
        <v>1162</v>
      </c>
      <c r="U37" s="294"/>
      <c r="EB37" s="4"/>
      <c r="EC37" s="4"/>
    </row>
    <row r="38" spans="1:133" ht="20.100000000000001" customHeight="1">
      <c r="A38" s="225" t="s">
        <v>207</v>
      </c>
      <c r="B38" s="263">
        <f t="shared" si="21"/>
        <v>21350</v>
      </c>
      <c r="C38" s="263"/>
      <c r="D38" s="152">
        <f t="shared" si="22"/>
        <v>21350</v>
      </c>
      <c r="E38" s="170">
        <f t="shared" si="20"/>
        <v>15053</v>
      </c>
      <c r="F38" s="740">
        <v>5500</v>
      </c>
      <c r="G38" s="740">
        <v>1775</v>
      </c>
      <c r="H38" s="740">
        <v>269</v>
      </c>
      <c r="I38" s="740">
        <v>2841</v>
      </c>
      <c r="J38" s="742">
        <v>927</v>
      </c>
      <c r="K38" s="742">
        <v>3542</v>
      </c>
      <c r="L38" s="742" t="s">
        <v>50</v>
      </c>
      <c r="M38" s="742">
        <v>199</v>
      </c>
      <c r="N38" s="741">
        <f t="shared" si="24"/>
        <v>2539</v>
      </c>
      <c r="O38" s="742">
        <v>594</v>
      </c>
      <c r="P38" s="742">
        <v>1945</v>
      </c>
      <c r="Q38" s="741">
        <f t="shared" si="25"/>
        <v>2597</v>
      </c>
      <c r="R38" s="742">
        <v>2597</v>
      </c>
      <c r="S38" s="170">
        <f t="shared" si="26"/>
        <v>1161</v>
      </c>
      <c r="T38" s="742">
        <v>1161</v>
      </c>
      <c r="U38" s="296"/>
      <c r="EB38" s="4"/>
      <c r="EC38" s="4"/>
    </row>
    <row r="39" spans="1:133" ht="20.100000000000001" customHeight="1">
      <c r="A39" s="225" t="s">
        <v>208</v>
      </c>
      <c r="B39" s="263">
        <f t="shared" si="21"/>
        <v>1402</v>
      </c>
      <c r="C39" s="263"/>
      <c r="D39" s="152">
        <f t="shared" si="22"/>
        <v>1402</v>
      </c>
      <c r="E39" s="170">
        <f t="shared" si="20"/>
        <v>1240</v>
      </c>
      <c r="F39" s="740">
        <v>648</v>
      </c>
      <c r="G39" s="740">
        <v>242</v>
      </c>
      <c r="H39" s="993">
        <v>0</v>
      </c>
      <c r="I39" s="740">
        <v>51</v>
      </c>
      <c r="J39" s="742">
        <v>107</v>
      </c>
      <c r="K39" s="742">
        <v>192</v>
      </c>
      <c r="L39" s="742" t="s">
        <v>50</v>
      </c>
      <c r="M39" s="742"/>
      <c r="N39" s="741">
        <f t="shared" si="24"/>
        <v>0</v>
      </c>
      <c r="O39" s="742"/>
      <c r="P39" s="742"/>
      <c r="Q39" s="741">
        <f t="shared" si="25"/>
        <v>161</v>
      </c>
      <c r="R39" s="742">
        <v>161</v>
      </c>
      <c r="S39" s="170">
        <f t="shared" si="26"/>
        <v>1</v>
      </c>
      <c r="T39" s="742">
        <v>1</v>
      </c>
      <c r="U39" s="296"/>
      <c r="EB39" s="4"/>
      <c r="EC39" s="4"/>
    </row>
    <row r="40" spans="1:133" ht="20.100000000000001" customHeight="1">
      <c r="A40" s="224" t="s">
        <v>113</v>
      </c>
      <c r="B40" s="263">
        <f t="shared" si="21"/>
        <v>3785</v>
      </c>
      <c r="C40" s="263"/>
      <c r="D40" s="152">
        <f t="shared" si="22"/>
        <v>3785</v>
      </c>
      <c r="E40" s="170">
        <f t="shared" si="20"/>
        <v>3146</v>
      </c>
      <c r="F40" s="740"/>
      <c r="G40" s="740"/>
      <c r="H40" s="740">
        <v>125</v>
      </c>
      <c r="I40" s="740">
        <v>19</v>
      </c>
      <c r="J40" s="742"/>
      <c r="K40" s="742"/>
      <c r="L40" s="742">
        <v>2962</v>
      </c>
      <c r="M40" s="742">
        <v>40</v>
      </c>
      <c r="N40" s="741">
        <f t="shared" si="24"/>
        <v>0</v>
      </c>
      <c r="O40" s="742"/>
      <c r="P40" s="742"/>
      <c r="Q40" s="741">
        <f t="shared" si="25"/>
        <v>59</v>
      </c>
      <c r="R40" s="742">
        <v>59</v>
      </c>
      <c r="S40" s="170">
        <f t="shared" si="26"/>
        <v>580</v>
      </c>
      <c r="T40" s="742">
        <v>580</v>
      </c>
      <c r="U40" s="296"/>
      <c r="EB40" s="4"/>
      <c r="EC40" s="4"/>
    </row>
    <row r="41" spans="1:133" ht="20.100000000000001" customHeight="1">
      <c r="A41" s="226" t="s">
        <v>210</v>
      </c>
      <c r="B41" s="260">
        <f t="shared" si="21"/>
        <v>182</v>
      </c>
      <c r="C41" s="260"/>
      <c r="D41" s="142">
        <f t="shared" si="22"/>
        <v>182</v>
      </c>
      <c r="E41" s="167">
        <f t="shared" si="20"/>
        <v>182</v>
      </c>
      <c r="F41" s="737"/>
      <c r="G41" s="737"/>
      <c r="H41" s="737"/>
      <c r="I41" s="737"/>
      <c r="J41" s="738">
        <v>16</v>
      </c>
      <c r="K41" s="738"/>
      <c r="L41" s="738">
        <v>103</v>
      </c>
      <c r="M41" s="738">
        <v>63</v>
      </c>
      <c r="N41" s="739">
        <f t="shared" si="24"/>
        <v>0</v>
      </c>
      <c r="O41" s="738"/>
      <c r="P41" s="738"/>
      <c r="Q41" s="739">
        <f t="shared" si="25"/>
        <v>0</v>
      </c>
      <c r="R41" s="738"/>
      <c r="S41" s="167">
        <f t="shared" si="26"/>
        <v>0</v>
      </c>
      <c r="T41" s="738"/>
      <c r="U41" s="291"/>
      <c r="EB41" s="4"/>
      <c r="EC41" s="4"/>
    </row>
    <row r="42" spans="1:133" ht="56.25">
      <c r="A42" s="223" t="s">
        <v>42</v>
      </c>
      <c r="B42" s="268">
        <f t="shared" ref="B42:B48" si="27">D42</f>
        <v>17267.29</v>
      </c>
      <c r="C42" s="268"/>
      <c r="D42" s="147">
        <f>(E42+N42+S42+Q42)+0.01</f>
        <v>17267.29</v>
      </c>
      <c r="E42" s="178">
        <f t="shared" ref="E42:E47" si="28">SUM(F42:M42)</f>
        <v>12613.020000000002</v>
      </c>
      <c r="F42" s="88">
        <f>(F43+F46+F47)</f>
        <v>3308.15</v>
      </c>
      <c r="G42" s="88">
        <f t="shared" ref="G42:M42" si="29">G43+G46+G47</f>
        <v>847.4</v>
      </c>
      <c r="H42" s="88">
        <f t="shared" si="29"/>
        <v>518.99</v>
      </c>
      <c r="I42" s="88">
        <f t="shared" si="29"/>
        <v>4259.5</v>
      </c>
      <c r="J42" s="88">
        <f t="shared" si="29"/>
        <v>1010.24</v>
      </c>
      <c r="K42" s="88">
        <f t="shared" si="29"/>
        <v>1531.03</v>
      </c>
      <c r="L42" s="88">
        <f t="shared" si="29"/>
        <v>1032.5899999999999</v>
      </c>
      <c r="M42" s="88">
        <f t="shared" si="29"/>
        <v>105.12</v>
      </c>
      <c r="N42" s="640">
        <f t="shared" ref="N42:N48" si="30">SUM(O42:P42)</f>
        <v>2687.01</v>
      </c>
      <c r="O42" s="88">
        <f>O43+O46+O47</f>
        <v>1730.54</v>
      </c>
      <c r="P42" s="88">
        <f>P43+P46+P47</f>
        <v>956.47</v>
      </c>
      <c r="Q42" s="640">
        <f t="shared" ref="Q42:Q48" si="31">SUM(R42:R42)</f>
        <v>1271.4299999999998</v>
      </c>
      <c r="R42" s="88">
        <f>R43+R46+R47</f>
        <v>1271.4299999999998</v>
      </c>
      <c r="S42" s="178">
        <f t="shared" ref="S42:S48" si="32">SUM(T42:T42)</f>
        <v>695.81999999999994</v>
      </c>
      <c r="T42" s="88">
        <f>T43+T46+T47</f>
        <v>695.81999999999994</v>
      </c>
      <c r="U42" s="302"/>
      <c r="EB42" s="4"/>
      <c r="EC42" s="4"/>
    </row>
    <row r="43" spans="1:133" ht="20.100000000000001" customHeight="1">
      <c r="A43" s="224" t="s">
        <v>206</v>
      </c>
      <c r="B43" s="268">
        <f t="shared" si="27"/>
        <v>15984.720000000001</v>
      </c>
      <c r="C43" s="268"/>
      <c r="D43" s="147">
        <f>(E43+N43+S43+Q43)</f>
        <v>15984.720000000001</v>
      </c>
      <c r="E43" s="178">
        <f t="shared" si="28"/>
        <v>11529.67</v>
      </c>
      <c r="F43" s="85">
        <v>3308.15</v>
      </c>
      <c r="G43" s="85">
        <v>847.4</v>
      </c>
      <c r="H43" s="85">
        <v>503.42</v>
      </c>
      <c r="I43" s="85">
        <v>4243.49</v>
      </c>
      <c r="J43" s="85">
        <v>1010.07</v>
      </c>
      <c r="K43" s="85">
        <v>1531.03</v>
      </c>
      <c r="L43" s="85"/>
      <c r="M43" s="85">
        <v>86.11</v>
      </c>
      <c r="N43" s="640">
        <f t="shared" si="30"/>
        <v>2687.01</v>
      </c>
      <c r="O43" s="85">
        <v>1730.54</v>
      </c>
      <c r="P43" s="85">
        <v>956.47</v>
      </c>
      <c r="Q43" s="640">
        <f t="shared" si="31"/>
        <v>1237.1199999999999</v>
      </c>
      <c r="R43" s="85">
        <v>1237.1199999999999</v>
      </c>
      <c r="S43" s="178">
        <f t="shared" si="32"/>
        <v>530.91999999999996</v>
      </c>
      <c r="T43" s="85">
        <v>530.91999999999996</v>
      </c>
      <c r="U43" s="303"/>
      <c r="EB43" s="4"/>
      <c r="EC43" s="4"/>
    </row>
    <row r="44" spans="1:133" ht="20.100000000000001" customHeight="1">
      <c r="A44" s="225" t="s">
        <v>207</v>
      </c>
      <c r="B44" s="268"/>
      <c r="C44" s="268"/>
      <c r="D44" s="147"/>
      <c r="E44" s="179"/>
      <c r="F44" s="50"/>
      <c r="G44" s="50"/>
      <c r="H44" s="50"/>
      <c r="I44" s="50"/>
      <c r="J44" s="50"/>
      <c r="K44" s="50"/>
      <c r="L44" s="50"/>
      <c r="M44" s="50"/>
      <c r="N44" s="641"/>
      <c r="O44" s="50"/>
      <c r="P44" s="50"/>
      <c r="Q44" s="641"/>
      <c r="R44" s="50"/>
      <c r="S44" s="179"/>
      <c r="T44" s="50"/>
      <c r="U44" s="303"/>
      <c r="EB44" s="4"/>
      <c r="EC44" s="4"/>
    </row>
    <row r="45" spans="1:133" ht="20.100000000000001" customHeight="1">
      <c r="A45" s="225" t="s">
        <v>208</v>
      </c>
      <c r="B45" s="268"/>
      <c r="C45" s="268"/>
      <c r="D45" s="147"/>
      <c r="E45" s="178"/>
      <c r="F45" s="50"/>
      <c r="G45" s="50"/>
      <c r="H45" s="50"/>
      <c r="I45" s="50"/>
      <c r="J45" s="50"/>
      <c r="K45" s="50"/>
      <c r="L45" s="50"/>
      <c r="M45" s="50"/>
      <c r="N45" s="640"/>
      <c r="O45" s="50"/>
      <c r="P45" s="50"/>
      <c r="Q45" s="640"/>
      <c r="R45" s="50"/>
      <c r="S45" s="178"/>
      <c r="T45" s="50"/>
      <c r="U45" s="302"/>
      <c r="EB45" s="4"/>
      <c r="EC45" s="4"/>
    </row>
    <row r="46" spans="1:133" ht="20.100000000000001" customHeight="1">
      <c r="A46" s="224" t="s">
        <v>113</v>
      </c>
      <c r="B46" s="268">
        <f t="shared" si="27"/>
        <v>1239.67</v>
      </c>
      <c r="C46" s="268"/>
      <c r="D46" s="147">
        <f>(E46+N46+S46+Q46)</f>
        <v>1239.67</v>
      </c>
      <c r="E46" s="179">
        <f t="shared" si="28"/>
        <v>1040.46</v>
      </c>
      <c r="F46" s="50"/>
      <c r="G46" s="50"/>
      <c r="H46" s="50">
        <v>15.57</v>
      </c>
      <c r="I46" s="50">
        <v>16.010000000000002</v>
      </c>
      <c r="J46" s="50"/>
      <c r="K46" s="50"/>
      <c r="L46" s="50">
        <v>996.4</v>
      </c>
      <c r="M46" s="50">
        <v>12.48</v>
      </c>
      <c r="N46" s="640">
        <f t="shared" si="30"/>
        <v>0</v>
      </c>
      <c r="O46" s="50"/>
      <c r="P46" s="50"/>
      <c r="Q46" s="641">
        <f t="shared" si="31"/>
        <v>34.31</v>
      </c>
      <c r="R46" s="50">
        <v>34.31</v>
      </c>
      <c r="S46" s="179">
        <f t="shared" si="32"/>
        <v>164.9</v>
      </c>
      <c r="T46" s="50">
        <v>164.9</v>
      </c>
      <c r="U46" s="303"/>
      <c r="EB46" s="4"/>
      <c r="EC46" s="4"/>
    </row>
    <row r="47" spans="1:133" ht="20.100000000000001" customHeight="1">
      <c r="A47" s="226" t="s">
        <v>210</v>
      </c>
      <c r="B47" s="269">
        <f t="shared" si="27"/>
        <v>42.89</v>
      </c>
      <c r="C47" s="269"/>
      <c r="D47" s="148">
        <f>(E47+N47+S47+Q47)</f>
        <v>42.89</v>
      </c>
      <c r="E47" s="180">
        <f t="shared" si="28"/>
        <v>42.89</v>
      </c>
      <c r="F47" s="52"/>
      <c r="G47" s="52"/>
      <c r="H47" s="52"/>
      <c r="I47" s="52"/>
      <c r="J47" s="52">
        <v>0.17</v>
      </c>
      <c r="K47" s="52"/>
      <c r="L47" s="52">
        <v>36.19</v>
      </c>
      <c r="M47" s="52">
        <v>6.53</v>
      </c>
      <c r="N47" s="642">
        <f t="shared" si="30"/>
        <v>0</v>
      </c>
      <c r="O47" s="52"/>
      <c r="P47" s="52"/>
      <c r="Q47" s="643">
        <f t="shared" si="31"/>
        <v>0</v>
      </c>
      <c r="R47" s="52"/>
      <c r="S47" s="180">
        <f t="shared" si="32"/>
        <v>0</v>
      </c>
      <c r="T47" s="52"/>
      <c r="U47" s="304"/>
      <c r="EB47" s="4"/>
      <c r="EC47" s="4"/>
    </row>
    <row r="48" spans="1:133" ht="54" customHeight="1">
      <c r="A48" s="223" t="s">
        <v>43</v>
      </c>
      <c r="B48" s="430">
        <f t="shared" si="27"/>
        <v>18336.020000000004</v>
      </c>
      <c r="C48" s="430"/>
      <c r="D48" s="147">
        <f>(E48+N48+Q48+S48)</f>
        <v>18336.020000000004</v>
      </c>
      <c r="E48" s="178">
        <f t="shared" ref="E48" si="33">SUM(F48:M48)</f>
        <v>13482.550000000001</v>
      </c>
      <c r="F48" s="88">
        <v>3308.15</v>
      </c>
      <c r="G48" s="88">
        <v>847.4</v>
      </c>
      <c r="H48" s="88">
        <v>531.45000000000005</v>
      </c>
      <c r="I48" s="88">
        <v>4272.3100000000004</v>
      </c>
      <c r="J48" s="88">
        <v>1010.38</v>
      </c>
      <c r="K48" s="88">
        <v>1531.03</v>
      </c>
      <c r="L48" s="88">
        <v>1861.17</v>
      </c>
      <c r="M48" s="88">
        <v>120.66</v>
      </c>
      <c r="N48" s="640">
        <f t="shared" si="30"/>
        <v>2687.01</v>
      </c>
      <c r="O48" s="88">
        <v>1730.54</v>
      </c>
      <c r="P48" s="88">
        <v>956.47</v>
      </c>
      <c r="Q48" s="640">
        <f t="shared" si="31"/>
        <v>1305.74</v>
      </c>
      <c r="R48" s="88">
        <v>1305.74</v>
      </c>
      <c r="S48" s="178">
        <f t="shared" si="32"/>
        <v>860.72</v>
      </c>
      <c r="T48" s="88">
        <v>860.72</v>
      </c>
      <c r="U48" s="285"/>
      <c r="EB48" s="4"/>
      <c r="EC48" s="4"/>
    </row>
    <row r="49" spans="1:133" ht="36" customHeight="1">
      <c r="A49" s="224" t="s">
        <v>44</v>
      </c>
      <c r="B49" s="422"/>
      <c r="C49" s="422"/>
      <c r="D49" s="147"/>
      <c r="E49" s="179"/>
      <c r="F49" s="50"/>
      <c r="G49" s="50"/>
      <c r="H49" s="50"/>
      <c r="I49" s="50"/>
      <c r="J49" s="50"/>
      <c r="K49" s="50"/>
      <c r="L49" s="50"/>
      <c r="M49" s="50"/>
      <c r="N49" s="640"/>
      <c r="O49" s="50"/>
      <c r="P49" s="50"/>
      <c r="Q49" s="641"/>
      <c r="R49" s="50"/>
      <c r="S49" s="179"/>
      <c r="T49" s="50"/>
      <c r="U49" s="286"/>
      <c r="EB49" s="4"/>
      <c r="EC49" s="4"/>
    </row>
    <row r="50" spans="1:133" ht="36" customHeight="1">
      <c r="A50" s="227" t="s">
        <v>553</v>
      </c>
      <c r="B50" s="431"/>
      <c r="C50" s="431"/>
      <c r="D50" s="148"/>
      <c r="E50" s="180"/>
      <c r="F50" s="51"/>
      <c r="G50" s="51"/>
      <c r="H50" s="51"/>
      <c r="I50" s="51"/>
      <c r="J50" s="51"/>
      <c r="K50" s="51"/>
      <c r="L50" s="51"/>
      <c r="M50" s="51"/>
      <c r="N50" s="644"/>
      <c r="O50" s="51"/>
      <c r="P50" s="51"/>
      <c r="Q50" s="643"/>
      <c r="R50" s="424"/>
      <c r="S50" s="180"/>
      <c r="T50" s="51"/>
      <c r="U50" s="287"/>
      <c r="EB50" s="4"/>
      <c r="EC50" s="4"/>
    </row>
    <row r="51" spans="1:133" ht="36" customHeight="1">
      <c r="A51" s="228" t="s">
        <v>554</v>
      </c>
      <c r="B51" s="473">
        <f>C51+D51</f>
        <v>562</v>
      </c>
      <c r="C51" s="473">
        <v>56</v>
      </c>
      <c r="D51" s="156">
        <f t="shared" si="11"/>
        <v>506</v>
      </c>
      <c r="E51" s="434">
        <f t="shared" si="12"/>
        <v>323</v>
      </c>
      <c r="F51" s="48">
        <v>65</v>
      </c>
      <c r="G51" s="48">
        <v>28</v>
      </c>
      <c r="H51" s="48">
        <v>19</v>
      </c>
      <c r="I51" s="48">
        <v>116</v>
      </c>
      <c r="J51" s="48">
        <v>29</v>
      </c>
      <c r="K51" s="48">
        <v>41</v>
      </c>
      <c r="L51" s="48">
        <v>14</v>
      </c>
      <c r="M51" s="48">
        <v>11</v>
      </c>
      <c r="N51" s="434">
        <f t="shared" ref="N51:N68" si="34">SUM(O51:P51)</f>
        <v>101.5</v>
      </c>
      <c r="O51" s="432">
        <v>58.5</v>
      </c>
      <c r="P51" s="48">
        <v>43</v>
      </c>
      <c r="Q51" s="434">
        <f t="shared" si="15"/>
        <v>38.5</v>
      </c>
      <c r="R51" s="432">
        <v>38.5</v>
      </c>
      <c r="S51" s="434">
        <f t="shared" si="16"/>
        <v>43</v>
      </c>
      <c r="T51" s="43">
        <v>43</v>
      </c>
      <c r="U51" s="305"/>
      <c r="EB51" s="4"/>
      <c r="EC51" s="4"/>
    </row>
    <row r="52" spans="1:133" ht="36" customHeight="1">
      <c r="A52" s="217" t="s">
        <v>555</v>
      </c>
      <c r="B52" s="473">
        <f t="shared" ref="B52:B60" si="35">C52+D52</f>
        <v>41</v>
      </c>
      <c r="C52" s="473"/>
      <c r="D52" s="376">
        <f t="shared" si="11"/>
        <v>41</v>
      </c>
      <c r="E52" s="434">
        <f t="shared" si="12"/>
        <v>22</v>
      </c>
      <c r="F52" s="49">
        <v>7</v>
      </c>
      <c r="G52" s="49">
        <v>3</v>
      </c>
      <c r="H52" s="49">
        <v>2</v>
      </c>
      <c r="I52" s="49">
        <v>7</v>
      </c>
      <c r="J52" s="49">
        <v>2</v>
      </c>
      <c r="K52" s="49">
        <v>1</v>
      </c>
      <c r="L52" s="49"/>
      <c r="M52" s="49"/>
      <c r="N52" s="434">
        <f t="shared" si="34"/>
        <v>6</v>
      </c>
      <c r="O52" s="49">
        <v>2</v>
      </c>
      <c r="P52" s="49">
        <v>4</v>
      </c>
      <c r="Q52" s="434">
        <f t="shared" si="15"/>
        <v>6</v>
      </c>
      <c r="R52" s="49">
        <v>6</v>
      </c>
      <c r="S52" s="434">
        <f t="shared" si="16"/>
        <v>7</v>
      </c>
      <c r="T52" s="49">
        <v>7</v>
      </c>
      <c r="U52" s="306"/>
      <c r="EB52" s="4"/>
      <c r="EC52" s="4"/>
    </row>
    <row r="53" spans="1:133" s="30" customFormat="1" ht="36" customHeight="1">
      <c r="A53" s="229" t="s">
        <v>556</v>
      </c>
      <c r="B53" s="473">
        <f t="shared" si="35"/>
        <v>521</v>
      </c>
      <c r="C53" s="473">
        <v>56</v>
      </c>
      <c r="D53" s="156">
        <f t="shared" si="11"/>
        <v>465</v>
      </c>
      <c r="E53" s="434">
        <f t="shared" si="12"/>
        <v>301</v>
      </c>
      <c r="F53" s="43">
        <v>58</v>
      </c>
      <c r="G53" s="43">
        <v>25</v>
      </c>
      <c r="H53" s="43">
        <v>17</v>
      </c>
      <c r="I53" s="43">
        <v>109</v>
      </c>
      <c r="J53" s="43">
        <v>27</v>
      </c>
      <c r="K53" s="43">
        <v>40</v>
      </c>
      <c r="L53" s="43">
        <v>14</v>
      </c>
      <c r="M53" s="43">
        <v>11</v>
      </c>
      <c r="N53" s="434">
        <f t="shared" si="34"/>
        <v>95.5</v>
      </c>
      <c r="O53" s="425">
        <v>56.5</v>
      </c>
      <c r="P53" s="43">
        <v>39</v>
      </c>
      <c r="Q53" s="434">
        <f t="shared" si="15"/>
        <v>32.5</v>
      </c>
      <c r="R53" s="425">
        <v>32.5</v>
      </c>
      <c r="S53" s="434">
        <f t="shared" si="16"/>
        <v>36</v>
      </c>
      <c r="T53" s="43">
        <v>36</v>
      </c>
      <c r="U53" s="305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</row>
    <row r="54" spans="1:133" ht="54" customHeight="1">
      <c r="A54" s="217" t="s">
        <v>269</v>
      </c>
      <c r="B54" s="473">
        <f t="shared" si="35"/>
        <v>37</v>
      </c>
      <c r="C54" s="473">
        <v>6</v>
      </c>
      <c r="D54" s="153">
        <f t="shared" si="11"/>
        <v>31</v>
      </c>
      <c r="E54" s="434">
        <f t="shared" si="12"/>
        <v>10</v>
      </c>
      <c r="F54" s="49"/>
      <c r="G54" s="49"/>
      <c r="H54" s="49">
        <v>1</v>
      </c>
      <c r="I54" s="49">
        <v>8</v>
      </c>
      <c r="J54" s="49"/>
      <c r="K54" s="49">
        <v>1</v>
      </c>
      <c r="L54" s="49"/>
      <c r="M54" s="49"/>
      <c r="N54" s="434">
        <f t="shared" si="34"/>
        <v>14</v>
      </c>
      <c r="O54" s="49">
        <v>7</v>
      </c>
      <c r="P54" s="49">
        <v>7</v>
      </c>
      <c r="Q54" s="434">
        <f t="shared" si="15"/>
        <v>2</v>
      </c>
      <c r="R54" s="49">
        <v>2</v>
      </c>
      <c r="S54" s="434">
        <f t="shared" si="16"/>
        <v>5</v>
      </c>
      <c r="T54" s="49">
        <v>5</v>
      </c>
      <c r="U54" s="307"/>
      <c r="EB54" s="4"/>
      <c r="EC54" s="4"/>
    </row>
    <row r="55" spans="1:133" ht="54" customHeight="1">
      <c r="A55" s="228" t="s">
        <v>270</v>
      </c>
      <c r="B55" s="473">
        <f>C55+D55</f>
        <v>419</v>
      </c>
      <c r="C55" s="473">
        <v>35</v>
      </c>
      <c r="D55" s="433">
        <f t="shared" si="11"/>
        <v>384</v>
      </c>
      <c r="E55" s="434">
        <f t="shared" si="12"/>
        <v>255</v>
      </c>
      <c r="F55" s="48">
        <v>54</v>
      </c>
      <c r="G55" s="48">
        <v>25</v>
      </c>
      <c r="H55" s="48">
        <v>16</v>
      </c>
      <c r="I55" s="48">
        <v>98</v>
      </c>
      <c r="J55" s="48">
        <v>20</v>
      </c>
      <c r="K55" s="48">
        <v>35</v>
      </c>
      <c r="L55" s="48">
        <v>3</v>
      </c>
      <c r="M55" s="48">
        <v>4</v>
      </c>
      <c r="N55" s="434">
        <f t="shared" si="34"/>
        <v>79.5</v>
      </c>
      <c r="O55" s="432">
        <v>44.5</v>
      </c>
      <c r="P55" s="48">
        <v>35</v>
      </c>
      <c r="Q55" s="434">
        <f t="shared" si="15"/>
        <v>29.5</v>
      </c>
      <c r="R55" s="432">
        <v>29.5</v>
      </c>
      <c r="S55" s="434">
        <f t="shared" si="16"/>
        <v>20</v>
      </c>
      <c r="T55" s="43">
        <v>20</v>
      </c>
      <c r="U55" s="308"/>
      <c r="EB55" s="4"/>
      <c r="EC55" s="4"/>
    </row>
    <row r="56" spans="1:133" ht="54" customHeight="1">
      <c r="A56" s="228" t="s">
        <v>404</v>
      </c>
      <c r="B56" s="481">
        <f t="shared" si="35"/>
        <v>106</v>
      </c>
      <c r="C56" s="481">
        <v>15</v>
      </c>
      <c r="D56" s="433">
        <f t="shared" si="11"/>
        <v>91</v>
      </c>
      <c r="E56" s="434">
        <f t="shared" si="12"/>
        <v>58</v>
      </c>
      <c r="F56" s="48">
        <v>11</v>
      </c>
      <c r="G56" s="48">
        <v>3</v>
      </c>
      <c r="H56" s="48">
        <v>2</v>
      </c>
      <c r="I56" s="48">
        <v>10</v>
      </c>
      <c r="J56" s="48">
        <v>9</v>
      </c>
      <c r="K56" s="48">
        <v>5</v>
      </c>
      <c r="L56" s="48">
        <v>11</v>
      </c>
      <c r="M56" s="48">
        <v>7</v>
      </c>
      <c r="N56" s="434">
        <f t="shared" si="34"/>
        <v>8</v>
      </c>
      <c r="O56" s="48">
        <v>7</v>
      </c>
      <c r="P56" s="48">
        <v>1</v>
      </c>
      <c r="Q56" s="434">
        <f t="shared" si="15"/>
        <v>7</v>
      </c>
      <c r="R56" s="48">
        <v>7</v>
      </c>
      <c r="S56" s="434">
        <f t="shared" si="16"/>
        <v>18</v>
      </c>
      <c r="T56" s="48">
        <v>18</v>
      </c>
      <c r="U56" s="307"/>
      <c r="EB56" s="4"/>
      <c r="EC56" s="4"/>
    </row>
    <row r="57" spans="1:133" ht="54" customHeight="1">
      <c r="A57" s="228" t="s">
        <v>405</v>
      </c>
      <c r="B57" s="473">
        <f t="shared" si="35"/>
        <v>464</v>
      </c>
      <c r="C57" s="481">
        <v>44</v>
      </c>
      <c r="D57" s="433">
        <f t="shared" si="11"/>
        <v>420</v>
      </c>
      <c r="E57" s="434">
        <f t="shared" si="12"/>
        <v>255</v>
      </c>
      <c r="F57" s="48">
        <v>56</v>
      </c>
      <c r="G57" s="48">
        <v>22</v>
      </c>
      <c r="H57" s="48">
        <v>14</v>
      </c>
      <c r="I57" s="48">
        <v>105</v>
      </c>
      <c r="J57" s="48">
        <v>15</v>
      </c>
      <c r="K57" s="48">
        <v>31</v>
      </c>
      <c r="L57" s="48">
        <v>3</v>
      </c>
      <c r="M57" s="48">
        <v>9</v>
      </c>
      <c r="N57" s="434">
        <f t="shared" si="34"/>
        <v>99.5</v>
      </c>
      <c r="O57" s="432">
        <v>58.5</v>
      </c>
      <c r="P57" s="48">
        <v>41</v>
      </c>
      <c r="Q57" s="434">
        <f t="shared" si="15"/>
        <v>35.5</v>
      </c>
      <c r="R57" s="432">
        <v>35.5</v>
      </c>
      <c r="S57" s="434">
        <f t="shared" si="16"/>
        <v>30</v>
      </c>
      <c r="T57" s="43">
        <v>30</v>
      </c>
      <c r="U57" s="307"/>
      <c r="EB57" s="4"/>
      <c r="EC57" s="4"/>
    </row>
    <row r="58" spans="1:133" ht="54" customHeight="1">
      <c r="A58" s="228" t="s">
        <v>406</v>
      </c>
      <c r="B58" s="473">
        <f>C58+D58</f>
        <v>70</v>
      </c>
      <c r="C58" s="473">
        <v>6</v>
      </c>
      <c r="D58" s="153">
        <f t="shared" si="11"/>
        <v>64</v>
      </c>
      <c r="E58" s="434">
        <f t="shared" si="12"/>
        <v>51</v>
      </c>
      <c r="F58" s="48">
        <v>8</v>
      </c>
      <c r="G58" s="48">
        <v>6</v>
      </c>
      <c r="H58" s="48">
        <v>5</v>
      </c>
      <c r="I58" s="48">
        <v>10</v>
      </c>
      <c r="J58" s="48">
        <v>6</v>
      </c>
      <c r="K58" s="48">
        <v>10</v>
      </c>
      <c r="L58" s="48">
        <v>5</v>
      </c>
      <c r="M58" s="48">
        <v>1</v>
      </c>
      <c r="N58" s="434">
        <f t="shared" si="34"/>
        <v>1</v>
      </c>
      <c r="O58" s="48"/>
      <c r="P58" s="48">
        <v>1</v>
      </c>
      <c r="Q58" s="434">
        <f t="shared" si="15"/>
        <v>2</v>
      </c>
      <c r="R58" s="48">
        <v>2</v>
      </c>
      <c r="S58" s="434">
        <f t="shared" si="16"/>
        <v>10</v>
      </c>
      <c r="T58" s="48">
        <v>10</v>
      </c>
      <c r="U58" s="307"/>
      <c r="EB58" s="4"/>
      <c r="EC58" s="4"/>
    </row>
    <row r="59" spans="1:133" ht="54" customHeight="1">
      <c r="A59" s="228" t="s">
        <v>407</v>
      </c>
      <c r="B59" s="473">
        <f t="shared" si="35"/>
        <v>22</v>
      </c>
      <c r="C59" s="481">
        <v>5</v>
      </c>
      <c r="D59" s="433">
        <f t="shared" si="11"/>
        <v>17</v>
      </c>
      <c r="E59" s="434">
        <f t="shared" si="12"/>
        <v>13</v>
      </c>
      <c r="F59" s="48">
        <v>1</v>
      </c>
      <c r="G59" s="48"/>
      <c r="H59" s="48"/>
      <c r="I59" s="48">
        <v>1</v>
      </c>
      <c r="J59" s="48">
        <v>6</v>
      </c>
      <c r="K59" s="48"/>
      <c r="L59" s="48">
        <v>5</v>
      </c>
      <c r="M59" s="48"/>
      <c r="N59" s="434">
        <f t="shared" si="34"/>
        <v>0</v>
      </c>
      <c r="O59" s="48"/>
      <c r="P59" s="48"/>
      <c r="Q59" s="434">
        <f t="shared" si="15"/>
        <v>1</v>
      </c>
      <c r="R59" s="48">
        <v>1</v>
      </c>
      <c r="S59" s="434">
        <f t="shared" si="16"/>
        <v>3</v>
      </c>
      <c r="T59" s="48">
        <v>3</v>
      </c>
      <c r="U59" s="307"/>
      <c r="EB59" s="4"/>
      <c r="EC59" s="4"/>
    </row>
    <row r="60" spans="1:133" ht="54" customHeight="1">
      <c r="A60" s="228" t="s">
        <v>408</v>
      </c>
      <c r="B60" s="473">
        <f t="shared" si="35"/>
        <v>6</v>
      </c>
      <c r="C60" s="473">
        <v>1</v>
      </c>
      <c r="D60" s="153">
        <f t="shared" si="11"/>
        <v>5</v>
      </c>
      <c r="E60" s="434">
        <f t="shared" si="12"/>
        <v>4</v>
      </c>
      <c r="F60" s="48"/>
      <c r="G60" s="48"/>
      <c r="H60" s="48"/>
      <c r="I60" s="48"/>
      <c r="J60" s="48">
        <v>2</v>
      </c>
      <c r="K60" s="43"/>
      <c r="L60" s="48">
        <v>1</v>
      </c>
      <c r="M60" s="48">
        <v>1</v>
      </c>
      <c r="N60" s="434">
        <f t="shared" si="34"/>
        <v>1</v>
      </c>
      <c r="O60" s="48"/>
      <c r="P60" s="48">
        <v>1</v>
      </c>
      <c r="Q60" s="434">
        <f t="shared" si="15"/>
        <v>0</v>
      </c>
      <c r="R60" s="48"/>
      <c r="S60" s="434">
        <f t="shared" si="16"/>
        <v>0</v>
      </c>
      <c r="T60" s="48"/>
      <c r="U60" s="309"/>
      <c r="EB60" s="4"/>
      <c r="EC60" s="4"/>
    </row>
    <row r="61" spans="1:133" s="203" customFormat="1" ht="71.25">
      <c r="A61" s="259" t="s">
        <v>409</v>
      </c>
      <c r="B61" s="480"/>
      <c r="C61" s="271"/>
      <c r="D61" s="200"/>
      <c r="E61" s="194"/>
      <c r="F61" s="201"/>
      <c r="G61" s="201"/>
      <c r="H61" s="201"/>
      <c r="I61" s="201"/>
      <c r="J61" s="201"/>
      <c r="K61" s="201"/>
      <c r="L61" s="201"/>
      <c r="M61" s="201"/>
      <c r="N61" s="194"/>
      <c r="O61" s="201"/>
      <c r="P61" s="201"/>
      <c r="Q61" s="194"/>
      <c r="R61" s="201"/>
      <c r="S61" s="194"/>
      <c r="T61" s="201"/>
      <c r="U61" s="310" t="s">
        <v>75</v>
      </c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2"/>
      <c r="DH61" s="202"/>
      <c r="DI61" s="202"/>
      <c r="DJ61" s="202"/>
      <c r="DK61" s="202"/>
      <c r="DL61" s="202"/>
      <c r="DM61" s="202"/>
      <c r="DN61" s="202"/>
      <c r="DO61" s="202"/>
      <c r="DP61" s="202"/>
      <c r="DQ61" s="202"/>
      <c r="DR61" s="202"/>
      <c r="DS61" s="202"/>
      <c r="DT61" s="202"/>
      <c r="DU61" s="202"/>
      <c r="DV61" s="202"/>
      <c r="DW61" s="202"/>
      <c r="DX61" s="202"/>
      <c r="DY61" s="202"/>
      <c r="DZ61" s="202"/>
      <c r="EA61" s="202"/>
    </row>
    <row r="62" spans="1:133" s="203" customFormat="1" ht="71.25">
      <c r="A62" s="259" t="s">
        <v>410</v>
      </c>
      <c r="B62" s="272"/>
      <c r="C62" s="271"/>
      <c r="D62" s="204"/>
      <c r="E62" s="194"/>
      <c r="F62" s="201"/>
      <c r="G62" s="201"/>
      <c r="H62" s="201"/>
      <c r="I62" s="201"/>
      <c r="J62" s="201"/>
      <c r="K62" s="201"/>
      <c r="L62" s="201"/>
      <c r="M62" s="201"/>
      <c r="N62" s="194"/>
      <c r="O62" s="201"/>
      <c r="P62" s="201"/>
      <c r="Q62" s="194"/>
      <c r="R62" s="201"/>
      <c r="S62" s="194"/>
      <c r="T62" s="201"/>
      <c r="U62" s="352" t="s">
        <v>75</v>
      </c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2"/>
      <c r="DH62" s="202"/>
      <c r="DI62" s="202"/>
      <c r="DJ62" s="202"/>
      <c r="DK62" s="202"/>
      <c r="DL62" s="202"/>
      <c r="DM62" s="202"/>
      <c r="DN62" s="202"/>
      <c r="DO62" s="202"/>
      <c r="DP62" s="202"/>
      <c r="DQ62" s="202"/>
      <c r="DR62" s="202"/>
      <c r="DS62" s="202"/>
      <c r="DT62" s="202"/>
      <c r="DU62" s="202"/>
      <c r="DV62" s="202"/>
      <c r="DW62" s="202"/>
      <c r="DX62" s="202"/>
      <c r="DY62" s="202"/>
      <c r="DZ62" s="202"/>
      <c r="EA62" s="202"/>
    </row>
    <row r="63" spans="1:133" ht="54" customHeight="1">
      <c r="A63" s="228" t="s">
        <v>80</v>
      </c>
      <c r="B63" s="436">
        <f t="shared" ref="B63:B72" si="36">C63+D63</f>
        <v>752</v>
      </c>
      <c r="C63" s="497">
        <v>622</v>
      </c>
      <c r="D63" s="433">
        <f>E63+N63+S63+Q63</f>
        <v>130</v>
      </c>
      <c r="E63" s="173">
        <f t="shared" si="12"/>
        <v>82</v>
      </c>
      <c r="F63" s="48">
        <v>5</v>
      </c>
      <c r="G63" s="48">
        <v>4</v>
      </c>
      <c r="H63" s="48">
        <v>4</v>
      </c>
      <c r="I63" s="48">
        <v>17</v>
      </c>
      <c r="J63" s="48">
        <v>4</v>
      </c>
      <c r="K63" s="48">
        <v>27</v>
      </c>
      <c r="L63" s="48">
        <v>16</v>
      </c>
      <c r="M63" s="48">
        <v>5</v>
      </c>
      <c r="N63" s="173">
        <f t="shared" si="34"/>
        <v>23</v>
      </c>
      <c r="O63" s="48">
        <v>18</v>
      </c>
      <c r="P63" s="48">
        <v>5</v>
      </c>
      <c r="Q63" s="173">
        <f t="shared" ref="Q63:Q75" si="37">SUM(R63:R63)</f>
        <v>7</v>
      </c>
      <c r="R63" s="48">
        <v>7</v>
      </c>
      <c r="S63" s="173">
        <f t="shared" si="16"/>
        <v>18</v>
      </c>
      <c r="T63" s="43">
        <v>18</v>
      </c>
      <c r="U63" s="312"/>
      <c r="EB63" s="4"/>
      <c r="EC63" s="4"/>
    </row>
    <row r="64" spans="1:133" ht="54" customHeight="1">
      <c r="A64" s="228" t="s">
        <v>81</v>
      </c>
      <c r="B64" s="436">
        <f t="shared" si="36"/>
        <v>9</v>
      </c>
      <c r="C64" s="497">
        <v>9</v>
      </c>
      <c r="D64" s="753">
        <f>E64+N64+S64+Q64</f>
        <v>0</v>
      </c>
      <c r="E64" s="173">
        <f t="shared" ref="E64:E75" si="38">SUM(F64:M64)</f>
        <v>0</v>
      </c>
      <c r="F64" s="48"/>
      <c r="G64" s="48"/>
      <c r="H64" s="48"/>
      <c r="I64" s="48"/>
      <c r="J64" s="48"/>
      <c r="K64" s="48"/>
      <c r="L64" s="48"/>
      <c r="M64" s="48"/>
      <c r="N64" s="173">
        <f t="shared" si="34"/>
        <v>0</v>
      </c>
      <c r="O64" s="48"/>
      <c r="P64" s="48"/>
      <c r="Q64" s="173">
        <f t="shared" si="37"/>
        <v>0</v>
      </c>
      <c r="R64" s="48"/>
      <c r="S64" s="173">
        <f t="shared" ref="S64:S75" si="39">SUM(T64:T64)</f>
        <v>0</v>
      </c>
      <c r="T64" s="48"/>
      <c r="U64" s="313" t="s">
        <v>21</v>
      </c>
      <c r="EB64" s="4"/>
      <c r="EC64" s="4"/>
    </row>
    <row r="65" spans="1:133" ht="54" customHeight="1">
      <c r="A65" s="228" t="s">
        <v>229</v>
      </c>
      <c r="B65" s="754">
        <f t="shared" si="36"/>
        <v>0</v>
      </c>
      <c r="C65" s="437"/>
      <c r="D65" s="753">
        <f>E65+N65+S65+Q65</f>
        <v>0</v>
      </c>
      <c r="E65" s="173">
        <f t="shared" si="38"/>
        <v>0</v>
      </c>
      <c r="F65" s="48"/>
      <c r="G65" s="48"/>
      <c r="H65" s="48"/>
      <c r="I65" s="48"/>
      <c r="J65" s="48"/>
      <c r="K65" s="48"/>
      <c r="L65" s="48"/>
      <c r="M65" s="48"/>
      <c r="N65" s="173">
        <f t="shared" si="34"/>
        <v>0</v>
      </c>
      <c r="O65" s="48"/>
      <c r="P65" s="48"/>
      <c r="Q65" s="173">
        <f t="shared" si="37"/>
        <v>0</v>
      </c>
      <c r="R65" s="48"/>
      <c r="S65" s="173">
        <f t="shared" si="39"/>
        <v>0</v>
      </c>
      <c r="T65" s="48"/>
      <c r="U65" s="311"/>
      <c r="EB65" s="4"/>
      <c r="EC65" s="4"/>
    </row>
    <row r="66" spans="1:133" ht="74.25" customHeight="1">
      <c r="A66" s="217" t="s">
        <v>710</v>
      </c>
      <c r="B66" s="426">
        <f t="shared" si="36"/>
        <v>296</v>
      </c>
      <c r="C66" s="273"/>
      <c r="D66" s="150">
        <f t="shared" ref="D66:D83" si="40">E66+N66+S66+Q66</f>
        <v>296</v>
      </c>
      <c r="E66" s="181">
        <f t="shared" si="38"/>
        <v>199</v>
      </c>
      <c r="F66" s="86">
        <f>F67+F68</f>
        <v>30</v>
      </c>
      <c r="G66" s="86">
        <f t="shared" ref="G66:M66" si="41">G67+G68</f>
        <v>25</v>
      </c>
      <c r="H66" s="86">
        <f t="shared" si="41"/>
        <v>7</v>
      </c>
      <c r="I66" s="86">
        <f t="shared" si="41"/>
        <v>95</v>
      </c>
      <c r="J66" s="86">
        <f t="shared" si="41"/>
        <v>23</v>
      </c>
      <c r="K66" s="86">
        <f t="shared" si="41"/>
        <v>4</v>
      </c>
      <c r="L66" s="86">
        <f t="shared" si="41"/>
        <v>11</v>
      </c>
      <c r="M66" s="86">
        <f t="shared" si="41"/>
        <v>4</v>
      </c>
      <c r="N66" s="181">
        <f t="shared" si="34"/>
        <v>67</v>
      </c>
      <c r="O66" s="86">
        <f>O67+O68</f>
        <v>45</v>
      </c>
      <c r="P66" s="86">
        <f>P67+P68</f>
        <v>22</v>
      </c>
      <c r="Q66" s="181">
        <f t="shared" si="37"/>
        <v>20</v>
      </c>
      <c r="R66" s="86">
        <f>R67+R68</f>
        <v>20</v>
      </c>
      <c r="S66" s="181">
        <f t="shared" si="39"/>
        <v>10</v>
      </c>
      <c r="T66" s="91">
        <f>T67+T68</f>
        <v>10</v>
      </c>
      <c r="U66" s="301"/>
      <c r="EB66" s="4"/>
      <c r="EC66" s="4"/>
    </row>
    <row r="67" spans="1:133" ht="20.100000000000001" customHeight="1">
      <c r="A67" s="222" t="s">
        <v>711</v>
      </c>
      <c r="B67" s="263">
        <f t="shared" si="36"/>
        <v>283</v>
      </c>
      <c r="C67" s="262"/>
      <c r="D67" s="144">
        <f t="shared" si="40"/>
        <v>283</v>
      </c>
      <c r="E67" s="170">
        <f t="shared" si="38"/>
        <v>194</v>
      </c>
      <c r="F67" s="41">
        <v>28</v>
      </c>
      <c r="G67" s="41">
        <v>25</v>
      </c>
      <c r="H67" s="41">
        <v>7</v>
      </c>
      <c r="I67" s="41">
        <v>94</v>
      </c>
      <c r="J67" s="41">
        <v>23</v>
      </c>
      <c r="K67" s="41">
        <v>4</v>
      </c>
      <c r="L67" s="44">
        <v>10</v>
      </c>
      <c r="M67" s="41">
        <v>3</v>
      </c>
      <c r="N67" s="170">
        <f t="shared" si="34"/>
        <v>65</v>
      </c>
      <c r="O67" s="41">
        <v>43</v>
      </c>
      <c r="P67" s="41">
        <v>22</v>
      </c>
      <c r="Q67" s="170">
        <f t="shared" si="37"/>
        <v>14</v>
      </c>
      <c r="R67" s="41">
        <v>14</v>
      </c>
      <c r="S67" s="170">
        <f t="shared" si="39"/>
        <v>10</v>
      </c>
      <c r="T67" s="41">
        <v>10</v>
      </c>
      <c r="U67" s="296"/>
      <c r="EB67" s="4"/>
      <c r="EC67" s="4"/>
    </row>
    <row r="68" spans="1:133" ht="20.100000000000001" customHeight="1">
      <c r="A68" s="230" t="s">
        <v>712</v>
      </c>
      <c r="B68" s="264">
        <f t="shared" si="36"/>
        <v>13</v>
      </c>
      <c r="C68" s="260"/>
      <c r="D68" s="142">
        <f t="shared" si="40"/>
        <v>13</v>
      </c>
      <c r="E68" s="167">
        <f t="shared" si="38"/>
        <v>5</v>
      </c>
      <c r="F68" s="45">
        <v>2</v>
      </c>
      <c r="G68" s="45"/>
      <c r="H68" s="45"/>
      <c r="I68" s="45">
        <v>1</v>
      </c>
      <c r="J68" s="45"/>
      <c r="K68" s="45"/>
      <c r="L68" s="46">
        <v>1</v>
      </c>
      <c r="M68" s="45">
        <v>1</v>
      </c>
      <c r="N68" s="167">
        <f t="shared" si="34"/>
        <v>2</v>
      </c>
      <c r="O68" s="45">
        <v>2</v>
      </c>
      <c r="P68" s="45"/>
      <c r="Q68" s="167">
        <f t="shared" si="37"/>
        <v>6</v>
      </c>
      <c r="R68" s="45">
        <v>6</v>
      </c>
      <c r="S68" s="167">
        <f t="shared" si="39"/>
        <v>0</v>
      </c>
      <c r="T68" s="45"/>
      <c r="U68" s="314"/>
      <c r="EB68" s="4"/>
      <c r="EC68" s="4"/>
    </row>
    <row r="69" spans="1:133" ht="75">
      <c r="A69" s="217" t="s">
        <v>339</v>
      </c>
      <c r="B69" s="438">
        <f t="shared" si="36"/>
        <v>697</v>
      </c>
      <c r="C69" s="766">
        <v>622</v>
      </c>
      <c r="D69" s="150">
        <f t="shared" si="40"/>
        <v>75</v>
      </c>
      <c r="E69" s="181">
        <f t="shared" si="38"/>
        <v>44</v>
      </c>
      <c r="F69" s="86">
        <f>F70+F71</f>
        <v>3</v>
      </c>
      <c r="G69" s="86">
        <f t="shared" ref="G69:M69" si="42">G70+G71</f>
        <v>2</v>
      </c>
      <c r="H69" s="86">
        <f t="shared" si="42"/>
        <v>4</v>
      </c>
      <c r="I69" s="86">
        <f t="shared" si="42"/>
        <v>9</v>
      </c>
      <c r="J69" s="86">
        <f t="shared" si="42"/>
        <v>4</v>
      </c>
      <c r="K69" s="86">
        <f t="shared" si="42"/>
        <v>5</v>
      </c>
      <c r="L69" s="86">
        <f t="shared" si="42"/>
        <v>16</v>
      </c>
      <c r="M69" s="86">
        <f t="shared" si="42"/>
        <v>1</v>
      </c>
      <c r="N69" s="181">
        <f t="shared" ref="N69:N82" si="43">SUM(O69:P69)</f>
        <v>22</v>
      </c>
      <c r="O69" s="86">
        <f>O70+O71</f>
        <v>17</v>
      </c>
      <c r="P69" s="86">
        <f>P70+P71</f>
        <v>5</v>
      </c>
      <c r="Q69" s="181">
        <f t="shared" si="37"/>
        <v>1</v>
      </c>
      <c r="R69" s="86">
        <f>R70+R71</f>
        <v>1</v>
      </c>
      <c r="S69" s="181">
        <f t="shared" si="39"/>
        <v>8</v>
      </c>
      <c r="T69" s="86">
        <f>T70+T71</f>
        <v>8</v>
      </c>
      <c r="U69" s="315"/>
      <c r="EB69" s="4"/>
      <c r="EC69" s="4"/>
    </row>
    <row r="70" spans="1:133" ht="20.100000000000001" customHeight="1">
      <c r="A70" s="222" t="s">
        <v>711</v>
      </c>
      <c r="B70" s="341">
        <f t="shared" si="36"/>
        <v>697</v>
      </c>
      <c r="C70" s="765">
        <v>622</v>
      </c>
      <c r="D70" s="144">
        <f t="shared" si="40"/>
        <v>75</v>
      </c>
      <c r="E70" s="170">
        <f t="shared" si="38"/>
        <v>44</v>
      </c>
      <c r="F70" s="41">
        <v>3</v>
      </c>
      <c r="G70" s="41">
        <v>2</v>
      </c>
      <c r="H70" s="41">
        <v>4</v>
      </c>
      <c r="I70" s="44">
        <v>9</v>
      </c>
      <c r="J70" s="41">
        <v>4</v>
      </c>
      <c r="K70" s="41">
        <v>5</v>
      </c>
      <c r="L70" s="41">
        <v>16</v>
      </c>
      <c r="M70" s="41">
        <v>1</v>
      </c>
      <c r="N70" s="170">
        <f t="shared" si="43"/>
        <v>22</v>
      </c>
      <c r="O70" s="41">
        <v>17</v>
      </c>
      <c r="P70" s="41">
        <v>5</v>
      </c>
      <c r="Q70" s="170">
        <f t="shared" si="37"/>
        <v>1</v>
      </c>
      <c r="R70" s="41">
        <v>1</v>
      </c>
      <c r="S70" s="170">
        <f t="shared" si="39"/>
        <v>8</v>
      </c>
      <c r="T70" s="41">
        <v>8</v>
      </c>
      <c r="U70" s="296"/>
      <c r="EB70" s="4"/>
      <c r="EC70" s="4"/>
    </row>
    <row r="71" spans="1:133" ht="20.100000000000001" customHeight="1">
      <c r="A71" s="231" t="s">
        <v>712</v>
      </c>
      <c r="B71" s="756">
        <f t="shared" si="36"/>
        <v>0</v>
      </c>
      <c r="C71" s="260"/>
      <c r="D71" s="755">
        <f t="shared" si="40"/>
        <v>0</v>
      </c>
      <c r="E71" s="167">
        <f t="shared" si="38"/>
        <v>0</v>
      </c>
      <c r="F71" s="47"/>
      <c r="G71" s="47"/>
      <c r="H71" s="47"/>
      <c r="I71" s="47"/>
      <c r="J71" s="47"/>
      <c r="K71" s="47"/>
      <c r="L71" s="47"/>
      <c r="M71" s="47"/>
      <c r="N71" s="167">
        <f t="shared" si="43"/>
        <v>0</v>
      </c>
      <c r="O71" s="47"/>
      <c r="P71" s="47"/>
      <c r="Q71" s="167">
        <f t="shared" si="37"/>
        <v>0</v>
      </c>
      <c r="R71" s="47"/>
      <c r="S71" s="167">
        <f t="shared" si="39"/>
        <v>0</v>
      </c>
      <c r="T71" s="47"/>
      <c r="U71" s="291"/>
      <c r="EB71" s="4"/>
      <c r="EC71" s="4"/>
    </row>
    <row r="72" spans="1:133" ht="56.25">
      <c r="A72" s="228" t="s">
        <v>713</v>
      </c>
      <c r="B72" s="260">
        <f t="shared" si="36"/>
        <v>14</v>
      </c>
      <c r="C72" s="260"/>
      <c r="D72" s="149">
        <f t="shared" si="40"/>
        <v>14</v>
      </c>
      <c r="E72" s="173">
        <f t="shared" si="38"/>
        <v>6</v>
      </c>
      <c r="F72" s="48">
        <v>1</v>
      </c>
      <c r="G72" s="48">
        <v>1</v>
      </c>
      <c r="H72" s="48">
        <v>1</v>
      </c>
      <c r="I72" s="48"/>
      <c r="J72" s="48">
        <v>1</v>
      </c>
      <c r="K72" s="48"/>
      <c r="L72" s="48">
        <v>2</v>
      </c>
      <c r="M72" s="48"/>
      <c r="N72" s="173">
        <f t="shared" si="43"/>
        <v>6</v>
      </c>
      <c r="O72" s="48">
        <v>6</v>
      </c>
      <c r="P72" s="48"/>
      <c r="Q72" s="173">
        <f t="shared" si="37"/>
        <v>1</v>
      </c>
      <c r="R72" s="48">
        <v>1</v>
      </c>
      <c r="S72" s="173">
        <f t="shared" si="39"/>
        <v>1</v>
      </c>
      <c r="T72" s="48">
        <v>1</v>
      </c>
      <c r="U72" s="311"/>
      <c r="EB72" s="4"/>
      <c r="EC72" s="4"/>
    </row>
    <row r="73" spans="1:133" ht="37.5">
      <c r="A73" s="217" t="s">
        <v>714</v>
      </c>
      <c r="B73" s="151">
        <f>D73</f>
        <v>3352</v>
      </c>
      <c r="C73" s="273"/>
      <c r="D73" s="150">
        <f t="shared" si="40"/>
        <v>3352</v>
      </c>
      <c r="E73" s="181">
        <f t="shared" si="38"/>
        <v>2528</v>
      </c>
      <c r="F73" s="749">
        <v>858</v>
      </c>
      <c r="G73" s="749">
        <v>481</v>
      </c>
      <c r="H73" s="749">
        <v>117</v>
      </c>
      <c r="I73" s="749">
        <f>486-67</f>
        <v>419</v>
      </c>
      <c r="J73" s="749">
        <v>152</v>
      </c>
      <c r="K73" s="749">
        <v>475</v>
      </c>
      <c r="L73" s="749"/>
      <c r="M73" s="749">
        <v>26</v>
      </c>
      <c r="N73" s="992">
        <f t="shared" si="43"/>
        <v>193</v>
      </c>
      <c r="O73" s="749">
        <f>O74+O75</f>
        <v>67</v>
      </c>
      <c r="P73" s="749">
        <v>126</v>
      </c>
      <c r="Q73" s="992">
        <f t="shared" si="37"/>
        <v>504</v>
      </c>
      <c r="R73" s="749">
        <v>504</v>
      </c>
      <c r="S73" s="992">
        <f t="shared" si="39"/>
        <v>127</v>
      </c>
      <c r="T73" s="749">
        <v>127</v>
      </c>
      <c r="U73" s="301"/>
      <c r="EB73" s="4"/>
      <c r="EC73" s="4"/>
    </row>
    <row r="74" spans="1:133" ht="20.100000000000001" hidden="1" customHeight="1">
      <c r="A74" s="211" t="s">
        <v>207</v>
      </c>
      <c r="B74" s="152">
        <f t="shared" ref="B74:B84" si="44">D74</f>
        <v>2801</v>
      </c>
      <c r="C74" s="262"/>
      <c r="D74" s="144">
        <f t="shared" si="40"/>
        <v>2801</v>
      </c>
      <c r="E74" s="170">
        <f t="shared" si="38"/>
        <v>2207</v>
      </c>
      <c r="F74" s="41">
        <v>780</v>
      </c>
      <c r="G74" s="41">
        <v>462</v>
      </c>
      <c r="H74" s="991">
        <v>117</v>
      </c>
      <c r="I74" s="41">
        <v>292</v>
      </c>
      <c r="J74" s="41">
        <v>187</v>
      </c>
      <c r="K74" s="41">
        <v>335</v>
      </c>
      <c r="L74" s="41"/>
      <c r="M74" s="41">
        <v>34</v>
      </c>
      <c r="N74" s="170">
        <f t="shared" si="43"/>
        <v>156</v>
      </c>
      <c r="O74" s="41">
        <v>67</v>
      </c>
      <c r="P74" s="41">
        <v>89</v>
      </c>
      <c r="Q74" s="170">
        <f t="shared" si="37"/>
        <v>353</v>
      </c>
      <c r="R74" s="41">
        <v>353</v>
      </c>
      <c r="S74" s="170">
        <f t="shared" si="39"/>
        <v>85</v>
      </c>
      <c r="T74" s="41">
        <v>85</v>
      </c>
      <c r="U74" s="296"/>
      <c r="EB74" s="4"/>
      <c r="EC74" s="4"/>
    </row>
    <row r="75" spans="1:133" ht="20.100000000000001" hidden="1" customHeight="1">
      <c r="A75" s="212" t="s">
        <v>208</v>
      </c>
      <c r="B75" s="144">
        <f t="shared" si="44"/>
        <v>311</v>
      </c>
      <c r="C75" s="260"/>
      <c r="D75" s="142">
        <f t="shared" si="40"/>
        <v>311</v>
      </c>
      <c r="E75" s="167">
        <f t="shared" si="38"/>
        <v>220</v>
      </c>
      <c r="F75" s="47">
        <v>103</v>
      </c>
      <c r="G75" s="47">
        <v>61</v>
      </c>
      <c r="H75" s="47"/>
      <c r="I75" s="47">
        <v>28</v>
      </c>
      <c r="J75" s="47"/>
      <c r="K75" s="47">
        <v>28</v>
      </c>
      <c r="L75" s="47"/>
      <c r="M75" s="47"/>
      <c r="N75" s="167">
        <f t="shared" si="43"/>
        <v>0</v>
      </c>
      <c r="O75" s="47"/>
      <c r="P75" s="47"/>
      <c r="Q75" s="167">
        <f t="shared" si="37"/>
        <v>91</v>
      </c>
      <c r="R75" s="47">
        <v>91</v>
      </c>
      <c r="S75" s="167">
        <f t="shared" si="39"/>
        <v>0</v>
      </c>
      <c r="T75" s="47" t="s">
        <v>50</v>
      </c>
      <c r="U75" s="291"/>
      <c r="EB75" s="4"/>
      <c r="EC75" s="4"/>
    </row>
    <row r="76" spans="1:133" ht="39.75" customHeight="1">
      <c r="A76" s="233" t="s">
        <v>650</v>
      </c>
      <c r="B76" s="274">
        <f t="shared" si="44"/>
        <v>2606</v>
      </c>
      <c r="C76" s="274"/>
      <c r="D76" s="149">
        <f t="shared" si="40"/>
        <v>2606</v>
      </c>
      <c r="E76" s="173">
        <f t="shared" ref="E76:E83" si="45">SUM(F76:M76)</f>
        <v>2014</v>
      </c>
      <c r="F76" s="48">
        <v>777</v>
      </c>
      <c r="G76" s="48">
        <v>446</v>
      </c>
      <c r="H76" s="48">
        <v>32</v>
      </c>
      <c r="I76" s="48">
        <v>297</v>
      </c>
      <c r="J76" s="48">
        <v>106</v>
      </c>
      <c r="K76" s="48">
        <v>332</v>
      </c>
      <c r="L76" s="43"/>
      <c r="M76" s="48">
        <v>24</v>
      </c>
      <c r="N76" s="645">
        <f t="shared" si="43"/>
        <v>142</v>
      </c>
      <c r="O76" s="43">
        <v>58</v>
      </c>
      <c r="P76" s="48">
        <v>84</v>
      </c>
      <c r="Q76" s="645">
        <f t="shared" ref="Q76:Q83" si="46">SUM(R76:R76)</f>
        <v>372</v>
      </c>
      <c r="R76" s="48">
        <v>372</v>
      </c>
      <c r="S76" s="173">
        <f>SUM(T76:T76)</f>
        <v>78</v>
      </c>
      <c r="T76" s="48">
        <v>78</v>
      </c>
      <c r="U76" s="136"/>
      <c r="EB76" s="4"/>
      <c r="EC76" s="4"/>
    </row>
    <row r="77" spans="1:133" ht="54.75" customHeight="1">
      <c r="A77" s="233" t="s">
        <v>651</v>
      </c>
      <c r="B77" s="273">
        <f t="shared" si="44"/>
        <v>2606</v>
      </c>
      <c r="C77" s="260"/>
      <c r="D77" s="149">
        <f t="shared" si="40"/>
        <v>2606</v>
      </c>
      <c r="E77" s="173">
        <f t="shared" si="45"/>
        <v>2014</v>
      </c>
      <c r="F77" s="48">
        <v>777</v>
      </c>
      <c r="G77" s="48">
        <v>446</v>
      </c>
      <c r="H77" s="48">
        <v>32</v>
      </c>
      <c r="I77" s="48">
        <v>297</v>
      </c>
      <c r="J77" s="48">
        <v>106</v>
      </c>
      <c r="K77" s="48">
        <v>332</v>
      </c>
      <c r="L77" s="43"/>
      <c r="M77" s="48">
        <v>24</v>
      </c>
      <c r="N77" s="645">
        <f t="shared" si="43"/>
        <v>142</v>
      </c>
      <c r="O77" s="43">
        <v>58</v>
      </c>
      <c r="P77" s="48">
        <v>84</v>
      </c>
      <c r="Q77" s="645">
        <f t="shared" si="46"/>
        <v>372</v>
      </c>
      <c r="R77" s="48">
        <v>372</v>
      </c>
      <c r="S77" s="173">
        <f t="shared" ref="S77:S83" si="47">SUM(T77:T77)</f>
        <v>78</v>
      </c>
      <c r="T77" s="48">
        <v>78</v>
      </c>
      <c r="U77" s="311"/>
      <c r="EB77" s="4"/>
      <c r="EC77" s="4"/>
    </row>
    <row r="78" spans="1:133" ht="53.25" customHeight="1">
      <c r="A78" s="234" t="s">
        <v>652</v>
      </c>
      <c r="B78" s="273">
        <f t="shared" si="44"/>
        <v>149</v>
      </c>
      <c r="C78" s="260"/>
      <c r="D78" s="149">
        <f t="shared" si="40"/>
        <v>149</v>
      </c>
      <c r="E78" s="173">
        <f t="shared" si="45"/>
        <v>130</v>
      </c>
      <c r="F78" s="49">
        <v>35</v>
      </c>
      <c r="G78" s="49">
        <v>11</v>
      </c>
      <c r="H78" s="49">
        <v>2</v>
      </c>
      <c r="I78" s="49">
        <v>22</v>
      </c>
      <c r="J78" s="49">
        <v>38</v>
      </c>
      <c r="K78" s="49">
        <v>21</v>
      </c>
      <c r="L78" s="163"/>
      <c r="M78" s="49">
        <v>1</v>
      </c>
      <c r="N78" s="645">
        <f t="shared" si="43"/>
        <v>5</v>
      </c>
      <c r="O78" s="163">
        <v>3</v>
      </c>
      <c r="P78" s="49">
        <v>2</v>
      </c>
      <c r="Q78" s="645">
        <f t="shared" si="46"/>
        <v>9</v>
      </c>
      <c r="R78" s="49">
        <v>9</v>
      </c>
      <c r="S78" s="173">
        <f t="shared" si="47"/>
        <v>5</v>
      </c>
      <c r="T78" s="49">
        <v>5</v>
      </c>
      <c r="U78" s="136"/>
      <c r="EB78" s="4"/>
      <c r="EC78" s="4"/>
    </row>
    <row r="79" spans="1:133" ht="90" customHeight="1">
      <c r="A79" s="233" t="s">
        <v>654</v>
      </c>
      <c r="B79" s="273">
        <f t="shared" si="44"/>
        <v>2096</v>
      </c>
      <c r="C79" s="274"/>
      <c r="D79" s="149">
        <f t="shared" si="40"/>
        <v>2096</v>
      </c>
      <c r="E79" s="173">
        <f t="shared" si="45"/>
        <v>1596</v>
      </c>
      <c r="F79" s="48">
        <v>628</v>
      </c>
      <c r="G79" s="48">
        <v>396</v>
      </c>
      <c r="H79" s="48">
        <v>26</v>
      </c>
      <c r="I79" s="48">
        <v>226</v>
      </c>
      <c r="J79" s="48">
        <v>54</v>
      </c>
      <c r="K79" s="48">
        <v>245</v>
      </c>
      <c r="L79" s="43"/>
      <c r="M79" s="48">
        <v>21</v>
      </c>
      <c r="N79" s="645">
        <f t="shared" si="43"/>
        <v>121</v>
      </c>
      <c r="O79" s="43">
        <v>51</v>
      </c>
      <c r="P79" s="48">
        <v>70</v>
      </c>
      <c r="Q79" s="645">
        <f t="shared" si="46"/>
        <v>320</v>
      </c>
      <c r="R79" s="48">
        <v>320</v>
      </c>
      <c r="S79" s="173">
        <f t="shared" si="47"/>
        <v>59</v>
      </c>
      <c r="T79" s="48">
        <v>59</v>
      </c>
      <c r="U79" s="311"/>
      <c r="EB79" s="4"/>
      <c r="EC79" s="4"/>
    </row>
    <row r="80" spans="1:133" ht="53.25" customHeight="1">
      <c r="A80" s="233" t="s">
        <v>655</v>
      </c>
      <c r="B80" s="274"/>
      <c r="C80" s="260"/>
      <c r="D80" s="149"/>
      <c r="E80" s="173"/>
      <c r="F80" s="48"/>
      <c r="G80" s="48"/>
      <c r="H80" s="48"/>
      <c r="I80" s="48"/>
      <c r="J80" s="48"/>
      <c r="K80" s="48"/>
      <c r="L80" s="43"/>
      <c r="M80" s="48"/>
      <c r="N80" s="645"/>
      <c r="O80" s="43"/>
      <c r="P80" s="48"/>
      <c r="Q80" s="645"/>
      <c r="R80" s="48"/>
      <c r="S80" s="173"/>
      <c r="T80" s="48"/>
      <c r="U80" s="311"/>
      <c r="EB80" s="4"/>
      <c r="EC80" s="4"/>
    </row>
    <row r="81" spans="1:133" ht="73.5" customHeight="1">
      <c r="A81" s="646" t="s">
        <v>20</v>
      </c>
      <c r="B81" s="273">
        <f t="shared" si="44"/>
        <v>2096</v>
      </c>
      <c r="C81" s="270"/>
      <c r="D81" s="186">
        <f t="shared" si="40"/>
        <v>2096</v>
      </c>
      <c r="E81" s="173">
        <f t="shared" si="45"/>
        <v>1596</v>
      </c>
      <c r="F81" s="43">
        <v>628</v>
      </c>
      <c r="G81" s="43">
        <v>396</v>
      </c>
      <c r="H81" s="43">
        <v>26</v>
      </c>
      <c r="I81" s="43">
        <v>226</v>
      </c>
      <c r="J81" s="43">
        <v>54</v>
      </c>
      <c r="K81" s="43">
        <v>245</v>
      </c>
      <c r="L81" s="43"/>
      <c r="M81" s="43">
        <v>21</v>
      </c>
      <c r="N81" s="645">
        <f t="shared" si="43"/>
        <v>121</v>
      </c>
      <c r="O81" s="43">
        <v>51</v>
      </c>
      <c r="P81" s="43">
        <v>70</v>
      </c>
      <c r="Q81" s="645">
        <f t="shared" si="46"/>
        <v>320</v>
      </c>
      <c r="R81" s="43">
        <v>320</v>
      </c>
      <c r="S81" s="173">
        <f t="shared" si="47"/>
        <v>59</v>
      </c>
      <c r="T81" s="43">
        <v>59</v>
      </c>
      <c r="U81" s="311"/>
      <c r="EB81" s="4"/>
      <c r="EC81" s="4"/>
    </row>
    <row r="82" spans="1:133" ht="93.75">
      <c r="A82" s="233" t="s">
        <v>656</v>
      </c>
      <c r="B82" s="273">
        <f t="shared" si="44"/>
        <v>1847</v>
      </c>
      <c r="C82" s="260"/>
      <c r="D82" s="149">
        <f t="shared" si="40"/>
        <v>1847</v>
      </c>
      <c r="E82" s="173">
        <f t="shared" si="45"/>
        <v>1409</v>
      </c>
      <c r="F82" s="48">
        <v>553</v>
      </c>
      <c r="G82" s="48">
        <v>337</v>
      </c>
      <c r="H82" s="48">
        <v>24</v>
      </c>
      <c r="I82" s="48">
        <v>203</v>
      </c>
      <c r="J82" s="48">
        <v>46</v>
      </c>
      <c r="K82" s="48">
        <v>227</v>
      </c>
      <c r="L82" s="43"/>
      <c r="M82" s="48">
        <v>19</v>
      </c>
      <c r="N82" s="645">
        <f t="shared" si="43"/>
        <v>117</v>
      </c>
      <c r="O82" s="43">
        <v>50</v>
      </c>
      <c r="P82" s="48">
        <v>67</v>
      </c>
      <c r="Q82" s="645">
        <f t="shared" si="46"/>
        <v>269</v>
      </c>
      <c r="R82" s="48">
        <v>269</v>
      </c>
      <c r="S82" s="173">
        <f t="shared" si="47"/>
        <v>52</v>
      </c>
      <c r="T82" s="48">
        <v>52</v>
      </c>
      <c r="U82" s="311"/>
      <c r="EB82" s="4"/>
      <c r="EC82" s="4"/>
    </row>
    <row r="83" spans="1:133" ht="93.75">
      <c r="A83" s="233" t="s">
        <v>657</v>
      </c>
      <c r="B83" s="273">
        <f t="shared" si="44"/>
        <v>249</v>
      </c>
      <c r="C83" s="260"/>
      <c r="D83" s="149">
        <f t="shared" si="40"/>
        <v>249</v>
      </c>
      <c r="E83" s="173">
        <f t="shared" si="45"/>
        <v>187</v>
      </c>
      <c r="F83" s="48">
        <v>75</v>
      </c>
      <c r="G83" s="48">
        <v>59</v>
      </c>
      <c r="H83" s="48">
        <v>2</v>
      </c>
      <c r="I83" s="48">
        <v>23</v>
      </c>
      <c r="J83" s="48">
        <v>8</v>
      </c>
      <c r="K83" s="48">
        <v>18</v>
      </c>
      <c r="L83" s="43"/>
      <c r="M83" s="48">
        <v>2</v>
      </c>
      <c r="N83" s="645">
        <f>SUM(O83:P83)</f>
        <v>4</v>
      </c>
      <c r="O83" s="43">
        <v>1</v>
      </c>
      <c r="P83" s="48">
        <v>3</v>
      </c>
      <c r="Q83" s="645">
        <f t="shared" si="46"/>
        <v>51</v>
      </c>
      <c r="R83" s="48">
        <v>51</v>
      </c>
      <c r="S83" s="173">
        <f t="shared" si="47"/>
        <v>7</v>
      </c>
      <c r="T83" s="48">
        <v>7</v>
      </c>
      <c r="U83" s="311"/>
      <c r="EB83" s="4"/>
      <c r="EC83" s="4"/>
    </row>
    <row r="84" spans="1:133" ht="57.75" customHeight="1">
      <c r="A84" s="234" t="s">
        <v>185</v>
      </c>
      <c r="B84" s="893">
        <f t="shared" si="44"/>
        <v>4.18</v>
      </c>
      <c r="C84" s="485"/>
      <c r="D84" s="99">
        <v>4.18</v>
      </c>
      <c r="E84" s="177">
        <f>AVERAGE(F84:M84)</f>
        <v>4.1385714285714297</v>
      </c>
      <c r="F84" s="35">
        <v>4.0599999999999996</v>
      </c>
      <c r="G84" s="35">
        <v>4.2</v>
      </c>
      <c r="H84" s="35">
        <v>4.29</v>
      </c>
      <c r="I84" s="35">
        <v>4.1500000000000004</v>
      </c>
      <c r="J84" s="35">
        <v>4.12</v>
      </c>
      <c r="K84" s="35">
        <v>4.41</v>
      </c>
      <c r="L84" s="35"/>
      <c r="M84" s="35">
        <v>3.74</v>
      </c>
      <c r="N84" s="177">
        <f>AVERAGE(O84:P84)</f>
        <v>4.22</v>
      </c>
      <c r="O84" s="35"/>
      <c r="P84" s="162">
        <v>4.22</v>
      </c>
      <c r="Q84" s="177">
        <f>AVERAGE(R84:R84)</f>
        <v>4.32</v>
      </c>
      <c r="R84" s="35">
        <v>4.32</v>
      </c>
      <c r="S84" s="177">
        <f>AVERAGE(T84:T84)</f>
        <v>3.99</v>
      </c>
      <c r="T84" s="35">
        <v>3.99</v>
      </c>
      <c r="U84" s="316" t="s">
        <v>514</v>
      </c>
      <c r="EB84" s="4"/>
      <c r="EC84" s="4"/>
    </row>
    <row r="85" spans="1:133" ht="37.5">
      <c r="A85" s="235" t="s">
        <v>186</v>
      </c>
      <c r="B85" s="260">
        <f t="shared" ref="B85:B116" si="48">D85</f>
        <v>385</v>
      </c>
      <c r="C85" s="260"/>
      <c r="D85" s="149">
        <f>E85+N85+S85+Q85</f>
        <v>385</v>
      </c>
      <c r="E85" s="173">
        <f t="shared" ref="E85:E105" si="49">SUM(F85:M85)</f>
        <v>295</v>
      </c>
      <c r="F85" s="48"/>
      <c r="G85" s="48"/>
      <c r="H85" s="48"/>
      <c r="I85" s="48"/>
      <c r="J85" s="48"/>
      <c r="K85" s="48"/>
      <c r="L85" s="48">
        <v>291</v>
      </c>
      <c r="M85" s="48">
        <v>4</v>
      </c>
      <c r="N85" s="173">
        <f t="shared" ref="N85:N99" si="50">SUM(O85:P85)</f>
        <v>0</v>
      </c>
      <c r="O85" s="48"/>
      <c r="P85" s="48"/>
      <c r="Q85" s="173">
        <f t="shared" ref="Q85:Q98" si="51">SUM(R85:R85)</f>
        <v>0</v>
      </c>
      <c r="R85" s="48"/>
      <c r="S85" s="173">
        <f t="shared" ref="S85:S116" si="52">SUM(T85:T85)</f>
        <v>90</v>
      </c>
      <c r="T85" s="48">
        <v>90</v>
      </c>
      <c r="U85" s="311"/>
      <c r="EB85" s="4"/>
      <c r="EC85" s="4"/>
    </row>
    <row r="86" spans="1:133" ht="37.5">
      <c r="A86" s="235" t="s">
        <v>187</v>
      </c>
      <c r="B86" s="260">
        <f t="shared" si="48"/>
        <v>2</v>
      </c>
      <c r="C86" s="260"/>
      <c r="D86" s="149">
        <f>E86</f>
        <v>2</v>
      </c>
      <c r="E86" s="173">
        <f t="shared" si="49"/>
        <v>2</v>
      </c>
      <c r="F86" s="48"/>
      <c r="G86" s="48"/>
      <c r="H86" s="48"/>
      <c r="I86" s="48"/>
      <c r="J86" s="48">
        <v>2</v>
      </c>
      <c r="K86" s="48"/>
      <c r="L86" s="48"/>
      <c r="M86" s="48"/>
      <c r="N86" s="173">
        <f t="shared" si="50"/>
        <v>0</v>
      </c>
      <c r="O86" s="48"/>
      <c r="P86" s="48"/>
      <c r="Q86" s="173">
        <f t="shared" si="51"/>
        <v>0</v>
      </c>
      <c r="R86" s="48"/>
      <c r="S86" s="173">
        <f t="shared" si="52"/>
        <v>0</v>
      </c>
      <c r="T86" s="48"/>
      <c r="U86" s="311"/>
      <c r="EB86" s="4"/>
      <c r="EC86" s="4"/>
    </row>
    <row r="87" spans="1:133" ht="150">
      <c r="A87" s="236" t="s">
        <v>52</v>
      </c>
      <c r="B87" s="262">
        <f t="shared" si="48"/>
        <v>220</v>
      </c>
      <c r="C87" s="261"/>
      <c r="D87" s="151">
        <f t="shared" ref="D87:D98" si="53">E87+N87+S87+Q87</f>
        <v>220</v>
      </c>
      <c r="E87" s="181">
        <f t="shared" si="49"/>
        <v>151</v>
      </c>
      <c r="F87" s="91">
        <f t="shared" ref="F87:M87" si="54">SUM(F88:F92)</f>
        <v>57</v>
      </c>
      <c r="G87" s="91">
        <f t="shared" si="54"/>
        <v>11</v>
      </c>
      <c r="H87" s="91">
        <f t="shared" si="54"/>
        <v>2</v>
      </c>
      <c r="I87" s="91">
        <f t="shared" si="54"/>
        <v>3</v>
      </c>
      <c r="J87" s="91">
        <f t="shared" si="54"/>
        <v>2</v>
      </c>
      <c r="K87" s="91">
        <f t="shared" si="54"/>
        <v>37</v>
      </c>
      <c r="L87" s="91">
        <f t="shared" si="54"/>
        <v>33</v>
      </c>
      <c r="M87" s="91">
        <f t="shared" si="54"/>
        <v>6</v>
      </c>
      <c r="N87" s="181">
        <f t="shared" si="50"/>
        <v>31</v>
      </c>
      <c r="O87" s="86">
        <f>SUM(O88:O92)</f>
        <v>5</v>
      </c>
      <c r="P87" s="86">
        <f>SUM(P88:P92)</f>
        <v>26</v>
      </c>
      <c r="Q87" s="181">
        <f t="shared" si="51"/>
        <v>4</v>
      </c>
      <c r="R87" s="86">
        <f>SUM(R88:R92)</f>
        <v>4</v>
      </c>
      <c r="S87" s="181">
        <f t="shared" si="52"/>
        <v>34</v>
      </c>
      <c r="T87" s="86">
        <f>SUM(T88:T92)</f>
        <v>34</v>
      </c>
      <c r="U87" s="301"/>
      <c r="EB87" s="4"/>
      <c r="EC87" s="4"/>
    </row>
    <row r="88" spans="1:133" ht="20.100000000000001" customHeight="1">
      <c r="A88" s="237" t="s">
        <v>366</v>
      </c>
      <c r="B88" s="263">
        <f t="shared" si="48"/>
        <v>135</v>
      </c>
      <c r="C88" s="263"/>
      <c r="D88" s="152">
        <f t="shared" si="53"/>
        <v>135</v>
      </c>
      <c r="E88" s="170">
        <f t="shared" si="49"/>
        <v>85</v>
      </c>
      <c r="F88" s="44">
        <v>33</v>
      </c>
      <c r="G88" s="41">
        <v>9</v>
      </c>
      <c r="H88" s="41" t="s">
        <v>50</v>
      </c>
      <c r="I88" s="41">
        <v>3</v>
      </c>
      <c r="J88" s="41">
        <v>1</v>
      </c>
      <c r="K88" s="44">
        <v>36</v>
      </c>
      <c r="L88" s="41">
        <v>1</v>
      </c>
      <c r="M88" s="41">
        <v>2</v>
      </c>
      <c r="N88" s="170">
        <f t="shared" si="50"/>
        <v>20</v>
      </c>
      <c r="O88" s="41">
        <v>1</v>
      </c>
      <c r="P88" s="41">
        <v>19</v>
      </c>
      <c r="Q88" s="170">
        <f t="shared" si="51"/>
        <v>1</v>
      </c>
      <c r="R88" s="41">
        <v>1</v>
      </c>
      <c r="S88" s="170">
        <f t="shared" si="52"/>
        <v>29</v>
      </c>
      <c r="T88" s="41">
        <v>29</v>
      </c>
      <c r="U88" s="296"/>
      <c r="EB88" s="4"/>
      <c r="EC88" s="4"/>
    </row>
    <row r="89" spans="1:133" ht="20.100000000000001" customHeight="1">
      <c r="A89" s="237" t="s">
        <v>367</v>
      </c>
      <c r="B89" s="263">
        <f t="shared" si="48"/>
        <v>7</v>
      </c>
      <c r="C89" s="263"/>
      <c r="D89" s="152">
        <f t="shared" si="53"/>
        <v>7</v>
      </c>
      <c r="E89" s="170">
        <f t="shared" si="49"/>
        <v>5</v>
      </c>
      <c r="F89" s="44">
        <v>2</v>
      </c>
      <c r="G89" s="41">
        <v>2</v>
      </c>
      <c r="H89" s="41"/>
      <c r="I89" s="41"/>
      <c r="J89" s="41"/>
      <c r="K89" s="41"/>
      <c r="L89" s="41">
        <v>1</v>
      </c>
      <c r="M89" s="41"/>
      <c r="N89" s="170">
        <f t="shared" si="50"/>
        <v>0</v>
      </c>
      <c r="O89" s="41"/>
      <c r="P89" s="41"/>
      <c r="Q89" s="170">
        <f t="shared" si="51"/>
        <v>1</v>
      </c>
      <c r="R89" s="41">
        <v>1</v>
      </c>
      <c r="S89" s="170">
        <f t="shared" si="52"/>
        <v>1</v>
      </c>
      <c r="T89" s="41">
        <v>1</v>
      </c>
      <c r="U89" s="296"/>
      <c r="EB89" s="4"/>
      <c r="EC89" s="4"/>
    </row>
    <row r="90" spans="1:133" ht="20.100000000000001" customHeight="1">
      <c r="A90" s="237" t="s">
        <v>368</v>
      </c>
      <c r="B90" s="263">
        <f t="shared" si="48"/>
        <v>70</v>
      </c>
      <c r="C90" s="263"/>
      <c r="D90" s="152">
        <f t="shared" si="53"/>
        <v>70</v>
      </c>
      <c r="E90" s="170">
        <f t="shared" si="49"/>
        <v>55</v>
      </c>
      <c r="F90" s="44">
        <v>17</v>
      </c>
      <c r="G90" s="41" t="s">
        <v>50</v>
      </c>
      <c r="H90" s="41">
        <v>2</v>
      </c>
      <c r="I90" s="41"/>
      <c r="J90" s="41">
        <v>1</v>
      </c>
      <c r="K90" s="41" t="s">
        <v>50</v>
      </c>
      <c r="L90" s="41">
        <v>31</v>
      </c>
      <c r="M90" s="41">
        <v>4</v>
      </c>
      <c r="N90" s="170">
        <f t="shared" si="50"/>
        <v>11</v>
      </c>
      <c r="O90" s="41">
        <v>4</v>
      </c>
      <c r="P90" s="41">
        <v>7</v>
      </c>
      <c r="Q90" s="170">
        <f t="shared" si="51"/>
        <v>2</v>
      </c>
      <c r="R90" s="41">
        <v>2</v>
      </c>
      <c r="S90" s="170">
        <f t="shared" si="52"/>
        <v>2</v>
      </c>
      <c r="T90" s="41">
        <v>2</v>
      </c>
      <c r="U90" s="296"/>
      <c r="EB90" s="4"/>
      <c r="EC90" s="4"/>
    </row>
    <row r="91" spans="1:133" ht="20.100000000000001" customHeight="1">
      <c r="A91" s="237" t="s">
        <v>369</v>
      </c>
      <c r="B91" s="263">
        <f t="shared" si="48"/>
        <v>5</v>
      </c>
      <c r="C91" s="263"/>
      <c r="D91" s="152">
        <f t="shared" si="53"/>
        <v>5</v>
      </c>
      <c r="E91" s="170">
        <f t="shared" si="49"/>
        <v>5</v>
      </c>
      <c r="F91" s="44">
        <v>5</v>
      </c>
      <c r="G91" s="41"/>
      <c r="H91" s="41"/>
      <c r="I91" s="41"/>
      <c r="J91" s="41"/>
      <c r="K91" s="41"/>
      <c r="L91" s="41"/>
      <c r="M91" s="41"/>
      <c r="N91" s="170">
        <f t="shared" si="50"/>
        <v>0</v>
      </c>
      <c r="O91" s="41"/>
      <c r="P91" s="41"/>
      <c r="Q91" s="170">
        <f t="shared" si="51"/>
        <v>0</v>
      </c>
      <c r="R91" s="41"/>
      <c r="S91" s="170">
        <f t="shared" si="52"/>
        <v>0</v>
      </c>
      <c r="T91" s="41"/>
      <c r="U91" s="296"/>
      <c r="EB91" s="4"/>
      <c r="EC91" s="4"/>
    </row>
    <row r="92" spans="1:133" ht="20.100000000000001" customHeight="1">
      <c r="A92" s="230" t="s">
        <v>370</v>
      </c>
      <c r="B92" s="264">
        <f t="shared" si="48"/>
        <v>3</v>
      </c>
      <c r="C92" s="264"/>
      <c r="D92" s="145">
        <f t="shared" si="53"/>
        <v>3</v>
      </c>
      <c r="E92" s="174">
        <f t="shared" si="49"/>
        <v>1</v>
      </c>
      <c r="F92" s="46"/>
      <c r="G92" s="45"/>
      <c r="H92" s="45"/>
      <c r="I92" s="45"/>
      <c r="J92" s="45"/>
      <c r="K92" s="45">
        <v>1</v>
      </c>
      <c r="L92" s="45"/>
      <c r="M92" s="45"/>
      <c r="N92" s="174">
        <f t="shared" si="50"/>
        <v>0</v>
      </c>
      <c r="O92" s="45"/>
      <c r="P92" s="45"/>
      <c r="Q92" s="174">
        <f t="shared" si="51"/>
        <v>0</v>
      </c>
      <c r="R92" s="45" t="s">
        <v>50</v>
      </c>
      <c r="S92" s="174">
        <f t="shared" si="52"/>
        <v>2</v>
      </c>
      <c r="T92" s="45">
        <v>2</v>
      </c>
      <c r="U92" s="136"/>
      <c r="EB92" s="4"/>
      <c r="EC92" s="4"/>
    </row>
    <row r="93" spans="1:133" ht="126" customHeight="1">
      <c r="A93" s="236" t="s">
        <v>53</v>
      </c>
      <c r="B93" s="262">
        <f t="shared" si="48"/>
        <v>108</v>
      </c>
      <c r="C93" s="261"/>
      <c r="D93" s="143">
        <f t="shared" si="53"/>
        <v>108</v>
      </c>
      <c r="E93" s="168">
        <f t="shared" si="49"/>
        <v>73</v>
      </c>
      <c r="F93" s="91">
        <f>SUM(F94:F98)</f>
        <v>36</v>
      </c>
      <c r="G93" s="91">
        <f t="shared" ref="G93:M93" si="55">SUM(G94:G98)</f>
        <v>4</v>
      </c>
      <c r="H93" s="91">
        <f t="shared" si="55"/>
        <v>2</v>
      </c>
      <c r="I93" s="91">
        <f t="shared" si="55"/>
        <v>3</v>
      </c>
      <c r="J93" s="91">
        <f t="shared" si="55"/>
        <v>2</v>
      </c>
      <c r="K93" s="91">
        <f t="shared" si="55"/>
        <v>9</v>
      </c>
      <c r="L93" s="91">
        <f t="shared" si="55"/>
        <v>12</v>
      </c>
      <c r="M93" s="91">
        <f t="shared" si="55"/>
        <v>5</v>
      </c>
      <c r="N93" s="168">
        <f t="shared" si="50"/>
        <v>15</v>
      </c>
      <c r="O93" s="86">
        <f>SUM(O94:O98)</f>
        <v>4</v>
      </c>
      <c r="P93" s="86">
        <f>SUM(P94:P98)</f>
        <v>11</v>
      </c>
      <c r="Q93" s="168">
        <f t="shared" si="51"/>
        <v>4</v>
      </c>
      <c r="R93" s="86">
        <f>SUM(R94:R98)</f>
        <v>4</v>
      </c>
      <c r="S93" s="168">
        <f t="shared" si="52"/>
        <v>16</v>
      </c>
      <c r="T93" s="86">
        <f>SUM(T94:T98)</f>
        <v>16</v>
      </c>
      <c r="U93" s="317"/>
      <c r="EB93" s="4"/>
      <c r="EC93" s="4"/>
    </row>
    <row r="94" spans="1:133" ht="20.100000000000001" customHeight="1">
      <c r="A94" s="237" t="s">
        <v>366</v>
      </c>
      <c r="B94" s="263">
        <f t="shared" si="48"/>
        <v>58</v>
      </c>
      <c r="C94" s="263"/>
      <c r="D94" s="152">
        <f t="shared" si="53"/>
        <v>58</v>
      </c>
      <c r="E94" s="170">
        <f t="shared" si="49"/>
        <v>36</v>
      </c>
      <c r="F94" s="44">
        <v>18</v>
      </c>
      <c r="G94" s="41">
        <v>3</v>
      </c>
      <c r="H94" s="41" t="s">
        <v>50</v>
      </c>
      <c r="I94" s="41">
        <v>3</v>
      </c>
      <c r="J94" s="41">
        <v>1</v>
      </c>
      <c r="K94" s="41">
        <v>8</v>
      </c>
      <c r="L94" s="41">
        <v>1</v>
      </c>
      <c r="M94" s="41">
        <v>2</v>
      </c>
      <c r="N94" s="170">
        <f t="shared" si="50"/>
        <v>9</v>
      </c>
      <c r="O94" s="41">
        <v>1</v>
      </c>
      <c r="P94" s="41">
        <v>8</v>
      </c>
      <c r="Q94" s="170">
        <f t="shared" si="51"/>
        <v>1</v>
      </c>
      <c r="R94" s="41">
        <v>1</v>
      </c>
      <c r="S94" s="170">
        <f t="shared" si="52"/>
        <v>12</v>
      </c>
      <c r="T94" s="41">
        <v>12</v>
      </c>
      <c r="U94" s="296"/>
      <c r="EB94" s="4"/>
      <c r="EC94" s="4"/>
    </row>
    <row r="95" spans="1:133" ht="20.100000000000001" customHeight="1">
      <c r="A95" s="237" t="s">
        <v>367</v>
      </c>
      <c r="B95" s="263">
        <f t="shared" si="48"/>
        <v>6</v>
      </c>
      <c r="C95" s="263"/>
      <c r="D95" s="152">
        <f t="shared" si="53"/>
        <v>6</v>
      </c>
      <c r="E95" s="170">
        <f t="shared" si="49"/>
        <v>4</v>
      </c>
      <c r="F95" s="44">
        <v>2</v>
      </c>
      <c r="G95" s="41">
        <v>1</v>
      </c>
      <c r="H95" s="41"/>
      <c r="I95" s="41"/>
      <c r="J95" s="41"/>
      <c r="K95" s="41"/>
      <c r="L95" s="41">
        <v>1</v>
      </c>
      <c r="M95" s="41"/>
      <c r="N95" s="170">
        <f t="shared" si="50"/>
        <v>0</v>
      </c>
      <c r="O95" s="41"/>
      <c r="P95" s="41" t="s">
        <v>50</v>
      </c>
      <c r="Q95" s="170">
        <f t="shared" si="51"/>
        <v>1</v>
      </c>
      <c r="R95" s="41">
        <v>1</v>
      </c>
      <c r="S95" s="170">
        <f t="shared" si="52"/>
        <v>1</v>
      </c>
      <c r="T95" s="41">
        <v>1</v>
      </c>
      <c r="U95" s="296"/>
      <c r="EB95" s="4"/>
      <c r="EC95" s="4"/>
    </row>
    <row r="96" spans="1:133" ht="20.100000000000001" customHeight="1">
      <c r="A96" s="237" t="s">
        <v>368</v>
      </c>
      <c r="B96" s="263">
        <f t="shared" si="48"/>
        <v>37</v>
      </c>
      <c r="C96" s="263"/>
      <c r="D96" s="152">
        <f t="shared" si="53"/>
        <v>37</v>
      </c>
      <c r="E96" s="170">
        <f t="shared" si="49"/>
        <v>27</v>
      </c>
      <c r="F96" s="44">
        <v>11</v>
      </c>
      <c r="G96" s="41"/>
      <c r="H96" s="41">
        <v>2</v>
      </c>
      <c r="I96" s="41"/>
      <c r="J96" s="41">
        <v>1</v>
      </c>
      <c r="K96" s="41" t="s">
        <v>50</v>
      </c>
      <c r="L96" s="41">
        <v>10</v>
      </c>
      <c r="M96" s="41">
        <v>3</v>
      </c>
      <c r="N96" s="170">
        <f t="shared" si="50"/>
        <v>6</v>
      </c>
      <c r="O96" s="41">
        <v>3</v>
      </c>
      <c r="P96" s="41">
        <v>3</v>
      </c>
      <c r="Q96" s="170">
        <f t="shared" si="51"/>
        <v>2</v>
      </c>
      <c r="R96" s="41">
        <v>2</v>
      </c>
      <c r="S96" s="170">
        <f t="shared" si="52"/>
        <v>2</v>
      </c>
      <c r="T96" s="41">
        <v>2</v>
      </c>
      <c r="U96" s="296"/>
      <c r="EB96" s="4"/>
      <c r="EC96" s="4"/>
    </row>
    <row r="97" spans="1:133" ht="19.5" customHeight="1">
      <c r="A97" s="237" t="s">
        <v>369</v>
      </c>
      <c r="B97" s="263">
        <f t="shared" si="48"/>
        <v>5</v>
      </c>
      <c r="C97" s="263"/>
      <c r="D97" s="152">
        <f t="shared" si="53"/>
        <v>5</v>
      </c>
      <c r="E97" s="170">
        <f t="shared" si="49"/>
        <v>5</v>
      </c>
      <c r="F97" s="44">
        <v>5</v>
      </c>
      <c r="G97" s="41"/>
      <c r="H97" s="41"/>
      <c r="I97" s="41"/>
      <c r="J97" s="41"/>
      <c r="K97" s="41"/>
      <c r="L97" s="41"/>
      <c r="M97" s="41"/>
      <c r="N97" s="170">
        <f t="shared" si="50"/>
        <v>0</v>
      </c>
      <c r="O97" s="41"/>
      <c r="P97" s="41" t="s">
        <v>50</v>
      </c>
      <c r="Q97" s="170">
        <f t="shared" si="51"/>
        <v>0</v>
      </c>
      <c r="R97" s="41"/>
      <c r="S97" s="170">
        <f t="shared" si="52"/>
        <v>0</v>
      </c>
      <c r="T97" s="41"/>
      <c r="U97" s="296"/>
      <c r="EB97" s="4"/>
      <c r="EC97" s="4"/>
    </row>
    <row r="98" spans="1:133" ht="20.100000000000001" customHeight="1">
      <c r="A98" s="230" t="s">
        <v>370</v>
      </c>
      <c r="B98" s="264">
        <f t="shared" si="48"/>
        <v>2</v>
      </c>
      <c r="C98" s="264"/>
      <c r="D98" s="145">
        <f t="shared" si="53"/>
        <v>2</v>
      </c>
      <c r="E98" s="174">
        <f t="shared" si="49"/>
        <v>1</v>
      </c>
      <c r="F98" s="46"/>
      <c r="G98" s="45"/>
      <c r="H98" s="45"/>
      <c r="I98" s="45"/>
      <c r="J98" s="45"/>
      <c r="K98" s="45">
        <v>1</v>
      </c>
      <c r="L98" s="45"/>
      <c r="M98" s="45"/>
      <c r="N98" s="174">
        <f t="shared" si="50"/>
        <v>0</v>
      </c>
      <c r="O98" s="45"/>
      <c r="P98" s="45"/>
      <c r="Q98" s="174">
        <f t="shared" si="51"/>
        <v>0</v>
      </c>
      <c r="R98" s="45" t="s">
        <v>50</v>
      </c>
      <c r="S98" s="174">
        <f t="shared" si="52"/>
        <v>1</v>
      </c>
      <c r="T98" s="45">
        <v>1</v>
      </c>
      <c r="U98" s="314"/>
      <c r="EB98" s="4"/>
      <c r="EC98" s="4"/>
    </row>
    <row r="99" spans="1:133" s="256" customFormat="1" ht="84.75" hidden="1" customHeight="1">
      <c r="A99" s="249" t="s">
        <v>198</v>
      </c>
      <c r="B99" s="276"/>
      <c r="C99" s="276"/>
      <c r="D99" s="250"/>
      <c r="E99" s="251"/>
      <c r="F99" s="252">
        <v>1</v>
      </c>
      <c r="G99" s="252"/>
      <c r="H99" s="252"/>
      <c r="I99" s="252">
        <v>1</v>
      </c>
      <c r="J99" s="252"/>
      <c r="K99" s="252"/>
      <c r="L99" s="252"/>
      <c r="M99" s="252"/>
      <c r="N99" s="251">
        <f t="shared" si="50"/>
        <v>3</v>
      </c>
      <c r="O99" s="252"/>
      <c r="P99" s="252">
        <v>3</v>
      </c>
      <c r="Q99" s="251"/>
      <c r="R99" s="252"/>
      <c r="S99" s="251"/>
      <c r="T99" s="252"/>
      <c r="U99" s="313" t="s">
        <v>75</v>
      </c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5"/>
      <c r="BP99" s="255"/>
      <c r="BQ99" s="255"/>
      <c r="BR99" s="255"/>
      <c r="BS99" s="255"/>
      <c r="BT99" s="255"/>
      <c r="BU99" s="255"/>
      <c r="BV99" s="255"/>
      <c r="BW99" s="255"/>
      <c r="BX99" s="255"/>
      <c r="BY99" s="255"/>
      <c r="BZ99" s="255"/>
      <c r="CA99" s="255"/>
      <c r="CB99" s="255"/>
      <c r="CC99" s="255"/>
      <c r="CD99" s="255"/>
      <c r="CE99" s="255"/>
      <c r="CF99" s="255"/>
      <c r="CG99" s="255"/>
      <c r="CH99" s="255"/>
      <c r="CI99" s="255"/>
      <c r="CJ99" s="255"/>
      <c r="CK99" s="255"/>
      <c r="CL99" s="255"/>
      <c r="CM99" s="255"/>
      <c r="CN99" s="255"/>
      <c r="CO99" s="255"/>
      <c r="CP99" s="255"/>
      <c r="CQ99" s="255"/>
      <c r="CR99" s="255"/>
      <c r="CS99" s="255"/>
      <c r="CT99" s="255"/>
      <c r="CU99" s="255"/>
      <c r="CV99" s="255"/>
      <c r="CW99" s="255"/>
      <c r="CX99" s="255"/>
      <c r="CY99" s="255"/>
      <c r="CZ99" s="255"/>
      <c r="DA99" s="255"/>
      <c r="DB99" s="255"/>
      <c r="DC99" s="255"/>
      <c r="DD99" s="255"/>
      <c r="DE99" s="255"/>
      <c r="DF99" s="255"/>
      <c r="DG99" s="255"/>
      <c r="DH99" s="255"/>
      <c r="DI99" s="255"/>
      <c r="DJ99" s="255"/>
      <c r="DK99" s="255"/>
      <c r="DL99" s="255"/>
      <c r="DM99" s="255"/>
      <c r="DN99" s="255"/>
      <c r="DO99" s="255"/>
      <c r="DP99" s="255"/>
      <c r="DQ99" s="255"/>
      <c r="DR99" s="255"/>
      <c r="DS99" s="255"/>
      <c r="DT99" s="255"/>
      <c r="DU99" s="255"/>
      <c r="DV99" s="255"/>
      <c r="DW99" s="255"/>
      <c r="DX99" s="255"/>
      <c r="DY99" s="255"/>
      <c r="DZ99" s="255"/>
      <c r="EA99" s="255"/>
    </row>
    <row r="100" spans="1:133" s="256" customFormat="1" ht="99.75" hidden="1" customHeight="1">
      <c r="A100" s="257" t="s">
        <v>371</v>
      </c>
      <c r="B100" s="277"/>
      <c r="C100" s="276"/>
      <c r="D100" s="258"/>
      <c r="E100" s="254"/>
      <c r="F100" s="253"/>
      <c r="G100" s="253"/>
      <c r="H100" s="253">
        <v>1</v>
      </c>
      <c r="I100" s="253"/>
      <c r="J100" s="253"/>
      <c r="K100" s="253"/>
      <c r="L100" s="253">
        <v>1</v>
      </c>
      <c r="M100" s="253"/>
      <c r="N100" s="254"/>
      <c r="O100" s="253"/>
      <c r="P100" s="253"/>
      <c r="Q100" s="254"/>
      <c r="R100" s="253"/>
      <c r="S100" s="254"/>
      <c r="T100" s="253"/>
      <c r="U100" s="313" t="s">
        <v>75</v>
      </c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5"/>
      <c r="BP100" s="255"/>
      <c r="BQ100" s="255"/>
      <c r="BR100" s="255"/>
      <c r="BS100" s="255"/>
      <c r="BT100" s="255"/>
      <c r="BU100" s="255"/>
      <c r="BV100" s="255"/>
      <c r="BW100" s="255"/>
      <c r="BX100" s="255"/>
      <c r="BY100" s="255"/>
      <c r="BZ100" s="255"/>
      <c r="CA100" s="255"/>
      <c r="CB100" s="255"/>
      <c r="CC100" s="255"/>
      <c r="CD100" s="255"/>
      <c r="CE100" s="255"/>
      <c r="CF100" s="255"/>
      <c r="CG100" s="255"/>
      <c r="CH100" s="255"/>
      <c r="CI100" s="255"/>
      <c r="CJ100" s="255"/>
      <c r="CK100" s="255"/>
      <c r="CL100" s="255"/>
      <c r="CM100" s="255"/>
      <c r="CN100" s="255"/>
      <c r="CO100" s="255"/>
      <c r="CP100" s="255"/>
      <c r="CQ100" s="255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255"/>
      <c r="DC100" s="255"/>
      <c r="DD100" s="255"/>
      <c r="DE100" s="255"/>
      <c r="DF100" s="255"/>
      <c r="DG100" s="255"/>
      <c r="DH100" s="255"/>
      <c r="DI100" s="255"/>
      <c r="DJ100" s="255"/>
      <c r="DK100" s="255"/>
      <c r="DL100" s="255"/>
      <c r="DM100" s="255"/>
      <c r="DN100" s="255"/>
      <c r="DO100" s="255"/>
      <c r="DP100" s="255"/>
      <c r="DQ100" s="255"/>
      <c r="DR100" s="255"/>
      <c r="DS100" s="255"/>
      <c r="DT100" s="255"/>
      <c r="DU100" s="255"/>
      <c r="DV100" s="255"/>
      <c r="DW100" s="255"/>
      <c r="DX100" s="255"/>
      <c r="DY100" s="255"/>
      <c r="DZ100" s="255"/>
      <c r="EA100" s="255"/>
    </row>
    <row r="101" spans="1:133" ht="56.25" customHeight="1">
      <c r="A101" s="232" t="s">
        <v>372</v>
      </c>
      <c r="B101" s="273">
        <f t="shared" si="48"/>
        <v>13362</v>
      </c>
      <c r="C101" s="262"/>
      <c r="D101" s="144">
        <f>D102+D103+D104</f>
        <v>13362</v>
      </c>
      <c r="E101" s="181">
        <f t="shared" si="49"/>
        <v>10477</v>
      </c>
      <c r="F101" s="90">
        <f t="shared" ref="F101:P101" si="56">SUM(F102:F104)</f>
        <v>2691</v>
      </c>
      <c r="G101" s="90">
        <f t="shared" si="56"/>
        <v>2675</v>
      </c>
      <c r="H101" s="90">
        <f t="shared" si="56"/>
        <v>204</v>
      </c>
      <c r="I101" s="90">
        <f t="shared" si="56"/>
        <v>1139</v>
      </c>
      <c r="J101" s="90">
        <f t="shared" si="56"/>
        <v>586</v>
      </c>
      <c r="K101" s="90">
        <f t="shared" si="56"/>
        <v>1377</v>
      </c>
      <c r="L101" s="435">
        <f t="shared" si="56"/>
        <v>1756</v>
      </c>
      <c r="M101" s="90">
        <f t="shared" si="56"/>
        <v>49</v>
      </c>
      <c r="N101" s="90">
        <f t="shared" si="56"/>
        <v>369</v>
      </c>
      <c r="O101" s="90">
        <f t="shared" si="56"/>
        <v>264</v>
      </c>
      <c r="P101" s="90">
        <f t="shared" si="56"/>
        <v>105</v>
      </c>
      <c r="Q101" s="181">
        <f t="shared" ref="Q101:Q116" si="57">SUM(R101:R101)</f>
        <v>1987</v>
      </c>
      <c r="R101" s="90">
        <f>SUM(R102:R104)</f>
        <v>1987</v>
      </c>
      <c r="S101" s="181">
        <f t="shared" si="52"/>
        <v>529</v>
      </c>
      <c r="T101" s="90">
        <f>SUM(T102:T104)</f>
        <v>529</v>
      </c>
      <c r="U101" s="317"/>
      <c r="EB101" s="4"/>
      <c r="EC101" s="4"/>
    </row>
    <row r="102" spans="1:133" s="925" customFormat="1" ht="20.100000000000001" customHeight="1">
      <c r="A102" s="919" t="s">
        <v>112</v>
      </c>
      <c r="B102" s="920">
        <f t="shared" si="48"/>
        <v>11586</v>
      </c>
      <c r="C102" s="920"/>
      <c r="D102" s="920">
        <f>E102+N102+S102+Q102</f>
        <v>11586</v>
      </c>
      <c r="E102" s="921">
        <f t="shared" si="49"/>
        <v>8701</v>
      </c>
      <c r="F102" s="922">
        <v>2691</v>
      </c>
      <c r="G102" s="922">
        <v>2675</v>
      </c>
      <c r="H102" s="922">
        <v>204</v>
      </c>
      <c r="I102" s="922">
        <v>1139</v>
      </c>
      <c r="J102" s="922">
        <v>584</v>
      </c>
      <c r="K102" s="922">
        <v>1377</v>
      </c>
      <c r="L102" s="922"/>
      <c r="M102" s="922">
        <v>31</v>
      </c>
      <c r="N102" s="921">
        <f t="shared" ref="N102:N116" si="58">SUM(O102:P102)</f>
        <v>369</v>
      </c>
      <c r="O102" s="922">
        <v>264</v>
      </c>
      <c r="P102" s="922">
        <v>105</v>
      </c>
      <c r="Q102" s="921">
        <f t="shared" si="57"/>
        <v>1987</v>
      </c>
      <c r="R102" s="922">
        <v>1987</v>
      </c>
      <c r="S102" s="921">
        <f t="shared" si="52"/>
        <v>529</v>
      </c>
      <c r="T102" s="922">
        <v>529</v>
      </c>
      <c r="U102" s="923"/>
      <c r="V102" s="924"/>
      <c r="W102" s="924"/>
      <c r="X102" s="924"/>
      <c r="Y102" s="924"/>
      <c r="Z102" s="924"/>
      <c r="AA102" s="924"/>
      <c r="AB102" s="924"/>
      <c r="AC102" s="924"/>
      <c r="AD102" s="924"/>
      <c r="AE102" s="924"/>
      <c r="AF102" s="924"/>
      <c r="AG102" s="924"/>
      <c r="AH102" s="924"/>
      <c r="AI102" s="924"/>
      <c r="AJ102" s="924"/>
      <c r="AK102" s="924"/>
      <c r="AL102" s="924"/>
      <c r="AM102" s="924"/>
      <c r="AN102" s="924"/>
      <c r="AO102" s="924"/>
      <c r="AP102" s="924"/>
      <c r="AQ102" s="924"/>
      <c r="AR102" s="924"/>
      <c r="AS102" s="924"/>
      <c r="AT102" s="924"/>
      <c r="AU102" s="924"/>
      <c r="AV102" s="924"/>
      <c r="AW102" s="924"/>
      <c r="AX102" s="924"/>
      <c r="AY102" s="924"/>
      <c r="AZ102" s="924"/>
      <c r="BA102" s="924"/>
      <c r="BB102" s="924"/>
      <c r="BC102" s="924"/>
      <c r="BD102" s="924"/>
      <c r="BE102" s="924"/>
      <c r="BF102" s="924"/>
      <c r="BG102" s="924"/>
      <c r="BH102" s="924"/>
      <c r="BI102" s="924"/>
      <c r="BJ102" s="924"/>
      <c r="BK102" s="924"/>
      <c r="BL102" s="924"/>
      <c r="BM102" s="924"/>
      <c r="BN102" s="924"/>
      <c r="BO102" s="924"/>
      <c r="BP102" s="924"/>
      <c r="BQ102" s="924"/>
      <c r="BR102" s="924"/>
      <c r="BS102" s="924"/>
      <c r="BT102" s="924"/>
      <c r="BU102" s="924"/>
      <c r="BV102" s="924"/>
      <c r="BW102" s="924"/>
      <c r="BX102" s="924"/>
      <c r="BY102" s="924"/>
      <c r="BZ102" s="924"/>
      <c r="CA102" s="924"/>
      <c r="CB102" s="924"/>
      <c r="CC102" s="924"/>
      <c r="CD102" s="924"/>
      <c r="CE102" s="924"/>
      <c r="CF102" s="924"/>
      <c r="CG102" s="924"/>
      <c r="CH102" s="924"/>
      <c r="CI102" s="924"/>
      <c r="CJ102" s="924"/>
      <c r="CK102" s="924"/>
      <c r="CL102" s="924"/>
      <c r="CM102" s="924"/>
      <c r="CN102" s="924"/>
      <c r="CO102" s="924"/>
      <c r="CP102" s="924"/>
      <c r="CQ102" s="924"/>
      <c r="CR102" s="924"/>
      <c r="CS102" s="924"/>
      <c r="CT102" s="924"/>
      <c r="CU102" s="924"/>
      <c r="CV102" s="924"/>
      <c r="CW102" s="924"/>
      <c r="CX102" s="924"/>
      <c r="CY102" s="924"/>
      <c r="CZ102" s="924"/>
      <c r="DA102" s="924"/>
      <c r="DB102" s="924"/>
      <c r="DC102" s="924"/>
      <c r="DD102" s="924"/>
      <c r="DE102" s="924"/>
      <c r="DF102" s="924"/>
      <c r="DG102" s="924"/>
      <c r="DH102" s="924"/>
      <c r="DI102" s="924"/>
      <c r="DJ102" s="924"/>
      <c r="DK102" s="924"/>
      <c r="DL102" s="924"/>
      <c r="DM102" s="924"/>
      <c r="DN102" s="924"/>
      <c r="DO102" s="924"/>
      <c r="DP102" s="924"/>
      <c r="DQ102" s="924"/>
      <c r="DR102" s="924"/>
      <c r="DS102" s="924"/>
      <c r="DT102" s="924"/>
      <c r="DU102" s="924"/>
      <c r="DV102" s="924"/>
      <c r="DW102" s="924"/>
      <c r="DX102" s="924"/>
      <c r="DY102" s="924"/>
      <c r="DZ102" s="924"/>
      <c r="EA102" s="924"/>
    </row>
    <row r="103" spans="1:133" s="925" customFormat="1" ht="20.100000000000001" customHeight="1">
      <c r="A103" s="919" t="s">
        <v>58</v>
      </c>
      <c r="B103" s="920">
        <f t="shared" si="48"/>
        <v>1774</v>
      </c>
      <c r="C103" s="920"/>
      <c r="D103" s="920">
        <f>E103+N103+S103+Q103</f>
        <v>1774</v>
      </c>
      <c r="E103" s="921">
        <f t="shared" si="49"/>
        <v>1774</v>
      </c>
      <c r="F103" s="922"/>
      <c r="G103" s="922"/>
      <c r="H103" s="922"/>
      <c r="I103" s="922"/>
      <c r="J103" s="922"/>
      <c r="K103" s="922"/>
      <c r="L103" s="922">
        <v>1756</v>
      </c>
      <c r="M103" s="922">
        <v>18</v>
      </c>
      <c r="N103" s="921">
        <f t="shared" si="58"/>
        <v>0</v>
      </c>
      <c r="O103" s="922"/>
      <c r="P103" s="922"/>
      <c r="Q103" s="921">
        <f t="shared" si="57"/>
        <v>0</v>
      </c>
      <c r="R103" s="922"/>
      <c r="S103" s="921">
        <f t="shared" si="52"/>
        <v>0</v>
      </c>
      <c r="T103" s="922"/>
      <c r="U103" s="923"/>
      <c r="V103" s="924"/>
      <c r="W103" s="924"/>
      <c r="X103" s="924"/>
      <c r="Y103" s="924"/>
      <c r="Z103" s="924"/>
      <c r="AA103" s="924"/>
      <c r="AB103" s="924"/>
      <c r="AC103" s="924"/>
      <c r="AD103" s="924"/>
      <c r="AE103" s="924"/>
      <c r="AF103" s="924"/>
      <c r="AG103" s="924"/>
      <c r="AH103" s="924"/>
      <c r="AI103" s="924"/>
      <c r="AJ103" s="924"/>
      <c r="AK103" s="924"/>
      <c r="AL103" s="924"/>
      <c r="AM103" s="924"/>
      <c r="AN103" s="924"/>
      <c r="AO103" s="924"/>
      <c r="AP103" s="924"/>
      <c r="AQ103" s="924"/>
      <c r="AR103" s="924"/>
      <c r="AS103" s="924"/>
      <c r="AT103" s="924"/>
      <c r="AU103" s="924"/>
      <c r="AV103" s="924"/>
      <c r="AW103" s="924"/>
      <c r="AX103" s="924"/>
      <c r="AY103" s="924"/>
      <c r="AZ103" s="924"/>
      <c r="BA103" s="924"/>
      <c r="BB103" s="924"/>
      <c r="BC103" s="924"/>
      <c r="BD103" s="924"/>
      <c r="BE103" s="924"/>
      <c r="BF103" s="924"/>
      <c r="BG103" s="924"/>
      <c r="BH103" s="924"/>
      <c r="BI103" s="924"/>
      <c r="BJ103" s="924"/>
      <c r="BK103" s="924"/>
      <c r="BL103" s="924"/>
      <c r="BM103" s="924"/>
      <c r="BN103" s="924"/>
      <c r="BO103" s="924"/>
      <c r="BP103" s="924"/>
      <c r="BQ103" s="924"/>
      <c r="BR103" s="924"/>
      <c r="BS103" s="924"/>
      <c r="BT103" s="924"/>
      <c r="BU103" s="924"/>
      <c r="BV103" s="924"/>
      <c r="BW103" s="924"/>
      <c r="BX103" s="924"/>
      <c r="BY103" s="924"/>
      <c r="BZ103" s="924"/>
      <c r="CA103" s="924"/>
      <c r="CB103" s="924"/>
      <c r="CC103" s="924"/>
      <c r="CD103" s="924"/>
      <c r="CE103" s="924"/>
      <c r="CF103" s="924"/>
      <c r="CG103" s="924"/>
      <c r="CH103" s="924"/>
      <c r="CI103" s="924"/>
      <c r="CJ103" s="924"/>
      <c r="CK103" s="924"/>
      <c r="CL103" s="924"/>
      <c r="CM103" s="924"/>
      <c r="CN103" s="924"/>
      <c r="CO103" s="924"/>
      <c r="CP103" s="924"/>
      <c r="CQ103" s="924"/>
      <c r="CR103" s="924"/>
      <c r="CS103" s="924"/>
      <c r="CT103" s="924"/>
      <c r="CU103" s="924"/>
      <c r="CV103" s="924"/>
      <c r="CW103" s="924"/>
      <c r="CX103" s="924"/>
      <c r="CY103" s="924"/>
      <c r="CZ103" s="924"/>
      <c r="DA103" s="924"/>
      <c r="DB103" s="924"/>
      <c r="DC103" s="924"/>
      <c r="DD103" s="924"/>
      <c r="DE103" s="924"/>
      <c r="DF103" s="924"/>
      <c r="DG103" s="924"/>
      <c r="DH103" s="924"/>
      <c r="DI103" s="924"/>
      <c r="DJ103" s="924"/>
      <c r="DK103" s="924"/>
      <c r="DL103" s="924"/>
      <c r="DM103" s="924"/>
      <c r="DN103" s="924"/>
      <c r="DO103" s="924"/>
      <c r="DP103" s="924"/>
      <c r="DQ103" s="924"/>
      <c r="DR103" s="924"/>
      <c r="DS103" s="924"/>
      <c r="DT103" s="924"/>
      <c r="DU103" s="924"/>
      <c r="DV103" s="924"/>
      <c r="DW103" s="924"/>
      <c r="DX103" s="924"/>
      <c r="DY103" s="924"/>
      <c r="DZ103" s="924"/>
      <c r="EA103" s="924"/>
    </row>
    <row r="104" spans="1:133" s="925" customFormat="1" ht="20.100000000000001" customHeight="1">
      <c r="A104" s="926" t="s">
        <v>512</v>
      </c>
      <c r="B104" s="920">
        <f t="shared" si="48"/>
        <v>2</v>
      </c>
      <c r="C104" s="928"/>
      <c r="D104" s="927">
        <f>E104+N104+S104+Q104</f>
        <v>2</v>
      </c>
      <c r="E104" s="929">
        <f t="shared" si="49"/>
        <v>2</v>
      </c>
      <c r="F104" s="930"/>
      <c r="G104" s="930"/>
      <c r="H104" s="930"/>
      <c r="I104" s="930"/>
      <c r="J104" s="930">
        <v>2</v>
      </c>
      <c r="K104" s="930" t="s">
        <v>50</v>
      </c>
      <c r="L104" s="930"/>
      <c r="M104" s="930"/>
      <c r="N104" s="931">
        <f t="shared" si="58"/>
        <v>0</v>
      </c>
      <c r="O104" s="930"/>
      <c r="P104" s="930"/>
      <c r="Q104" s="929">
        <f t="shared" si="57"/>
        <v>0</v>
      </c>
      <c r="R104" s="930"/>
      <c r="S104" s="929">
        <f t="shared" si="52"/>
        <v>0</v>
      </c>
      <c r="T104" s="930"/>
      <c r="U104" s="932"/>
      <c r="V104" s="924"/>
      <c r="W104" s="924"/>
      <c r="X104" s="924"/>
      <c r="Y104" s="924"/>
      <c r="Z104" s="924"/>
      <c r="AA104" s="924"/>
      <c r="AB104" s="924"/>
      <c r="AC104" s="924"/>
      <c r="AD104" s="924"/>
      <c r="AE104" s="924"/>
      <c r="AF104" s="924"/>
      <c r="AG104" s="924"/>
      <c r="AH104" s="924"/>
      <c r="AI104" s="924"/>
      <c r="AJ104" s="924"/>
      <c r="AK104" s="924"/>
      <c r="AL104" s="924"/>
      <c r="AM104" s="924"/>
      <c r="AN104" s="924"/>
      <c r="AO104" s="924"/>
      <c r="AP104" s="924"/>
      <c r="AQ104" s="924"/>
      <c r="AR104" s="924"/>
      <c r="AS104" s="924"/>
      <c r="AT104" s="924"/>
      <c r="AU104" s="924"/>
      <c r="AV104" s="924"/>
      <c r="AW104" s="924"/>
      <c r="AX104" s="924"/>
      <c r="AY104" s="924"/>
      <c r="AZ104" s="924"/>
      <c r="BA104" s="924"/>
      <c r="BB104" s="924"/>
      <c r="BC104" s="924"/>
      <c r="BD104" s="924"/>
      <c r="BE104" s="924"/>
      <c r="BF104" s="924"/>
      <c r="BG104" s="924"/>
      <c r="BH104" s="924"/>
      <c r="BI104" s="924"/>
      <c r="BJ104" s="924"/>
      <c r="BK104" s="924"/>
      <c r="BL104" s="924"/>
      <c r="BM104" s="924"/>
      <c r="BN104" s="924"/>
      <c r="BO104" s="924"/>
      <c r="BP104" s="924"/>
      <c r="BQ104" s="924"/>
      <c r="BR104" s="924"/>
      <c r="BS104" s="924"/>
      <c r="BT104" s="924"/>
      <c r="BU104" s="924"/>
      <c r="BV104" s="924"/>
      <c r="BW104" s="924"/>
      <c r="BX104" s="924"/>
      <c r="BY104" s="924"/>
      <c r="BZ104" s="924"/>
      <c r="CA104" s="924"/>
      <c r="CB104" s="924"/>
      <c r="CC104" s="924"/>
      <c r="CD104" s="924"/>
      <c r="CE104" s="924"/>
      <c r="CF104" s="924"/>
      <c r="CG104" s="924"/>
      <c r="CH104" s="924"/>
      <c r="CI104" s="924"/>
      <c r="CJ104" s="924"/>
      <c r="CK104" s="924"/>
      <c r="CL104" s="924"/>
      <c r="CM104" s="924"/>
      <c r="CN104" s="924"/>
      <c r="CO104" s="924"/>
      <c r="CP104" s="924"/>
      <c r="CQ104" s="924"/>
      <c r="CR104" s="924"/>
      <c r="CS104" s="924"/>
      <c r="CT104" s="924"/>
      <c r="CU104" s="924"/>
      <c r="CV104" s="924"/>
      <c r="CW104" s="924"/>
      <c r="CX104" s="924"/>
      <c r="CY104" s="924"/>
      <c r="CZ104" s="924"/>
      <c r="DA104" s="924"/>
      <c r="DB104" s="924"/>
      <c r="DC104" s="924"/>
      <c r="DD104" s="924"/>
      <c r="DE104" s="924"/>
      <c r="DF104" s="924"/>
      <c r="DG104" s="924"/>
      <c r="DH104" s="924"/>
      <c r="DI104" s="924"/>
      <c r="DJ104" s="924"/>
      <c r="DK104" s="924"/>
      <c r="DL104" s="924"/>
      <c r="DM104" s="924"/>
      <c r="DN104" s="924"/>
      <c r="DO104" s="924"/>
      <c r="DP104" s="924"/>
      <c r="DQ104" s="924"/>
      <c r="DR104" s="924"/>
      <c r="DS104" s="924"/>
      <c r="DT104" s="924"/>
      <c r="DU104" s="924"/>
      <c r="DV104" s="924"/>
      <c r="DW104" s="924"/>
      <c r="DX104" s="924"/>
      <c r="DY104" s="924"/>
      <c r="DZ104" s="924"/>
      <c r="EA104" s="924"/>
    </row>
    <row r="105" spans="1:133" ht="131.25">
      <c r="A105" s="234" t="s">
        <v>83</v>
      </c>
      <c r="B105" s="273">
        <f t="shared" si="48"/>
        <v>380</v>
      </c>
      <c r="C105" s="262"/>
      <c r="D105" s="144">
        <f t="shared" ref="D105:D116" si="59">E105+N105+S105+Q105</f>
        <v>380</v>
      </c>
      <c r="E105" s="181">
        <f t="shared" si="49"/>
        <v>230</v>
      </c>
      <c r="F105" s="91">
        <f t="shared" ref="F105:O105" si="60">SUM(F106:F110)</f>
        <v>57</v>
      </c>
      <c r="G105" s="91">
        <f t="shared" si="60"/>
        <v>49</v>
      </c>
      <c r="H105" s="91">
        <f t="shared" si="60"/>
        <v>4</v>
      </c>
      <c r="I105" s="91">
        <f t="shared" si="60"/>
        <v>26</v>
      </c>
      <c r="J105" s="91">
        <f t="shared" si="60"/>
        <v>2</v>
      </c>
      <c r="K105" s="91">
        <f t="shared" si="60"/>
        <v>46</v>
      </c>
      <c r="L105" s="91">
        <f t="shared" si="60"/>
        <v>38</v>
      </c>
      <c r="M105" s="91">
        <f t="shared" si="60"/>
        <v>8</v>
      </c>
      <c r="N105" s="91">
        <f t="shared" si="60"/>
        <v>36</v>
      </c>
      <c r="O105" s="91">
        <f t="shared" si="60"/>
        <v>10</v>
      </c>
      <c r="P105" s="91">
        <f>SUM(P106:P110)</f>
        <v>26</v>
      </c>
      <c r="Q105" s="181">
        <f t="shared" si="57"/>
        <v>12</v>
      </c>
      <c r="R105" s="91">
        <f>SUM(R106:R110)</f>
        <v>12</v>
      </c>
      <c r="S105" s="181">
        <f t="shared" si="52"/>
        <v>102</v>
      </c>
      <c r="T105" s="91">
        <f>SUM(T106:T110)</f>
        <v>102</v>
      </c>
      <c r="U105" s="301"/>
      <c r="EB105" s="4"/>
      <c r="EC105" s="4"/>
    </row>
    <row r="106" spans="1:133" ht="20.100000000000001" customHeight="1">
      <c r="A106" s="238" t="s">
        <v>366</v>
      </c>
      <c r="B106" s="263">
        <f t="shared" si="48"/>
        <v>238</v>
      </c>
      <c r="C106" s="263"/>
      <c r="D106" s="152">
        <f t="shared" si="59"/>
        <v>238</v>
      </c>
      <c r="E106" s="170">
        <f t="shared" ref="E106:E116" si="61">SUM(F106:M106)</f>
        <v>117</v>
      </c>
      <c r="F106" s="44">
        <v>33</v>
      </c>
      <c r="G106" s="44">
        <v>15</v>
      </c>
      <c r="H106" s="44">
        <v>1</v>
      </c>
      <c r="I106" s="44">
        <v>23</v>
      </c>
      <c r="J106" s="44">
        <v>1</v>
      </c>
      <c r="K106" s="44">
        <v>40</v>
      </c>
      <c r="L106" s="44">
        <v>2</v>
      </c>
      <c r="M106" s="44">
        <v>2</v>
      </c>
      <c r="N106" s="170">
        <f t="shared" si="58"/>
        <v>21</v>
      </c>
      <c r="O106" s="44">
        <v>2</v>
      </c>
      <c r="P106" s="44">
        <v>19</v>
      </c>
      <c r="Q106" s="170">
        <f t="shared" si="57"/>
        <v>6</v>
      </c>
      <c r="R106" s="44">
        <v>6</v>
      </c>
      <c r="S106" s="170">
        <f t="shared" si="52"/>
        <v>94</v>
      </c>
      <c r="T106" s="44">
        <v>94</v>
      </c>
      <c r="U106" s="296"/>
      <c r="EB106" s="4"/>
      <c r="EC106" s="4"/>
    </row>
    <row r="107" spans="1:133" ht="20.100000000000001" customHeight="1">
      <c r="A107" s="238" t="s">
        <v>367</v>
      </c>
      <c r="B107" s="263">
        <f t="shared" si="48"/>
        <v>14</v>
      </c>
      <c r="C107" s="263"/>
      <c r="D107" s="152">
        <f t="shared" si="59"/>
        <v>14</v>
      </c>
      <c r="E107" s="170">
        <f t="shared" si="61"/>
        <v>10</v>
      </c>
      <c r="F107" s="44">
        <v>2</v>
      </c>
      <c r="G107" s="44">
        <v>6</v>
      </c>
      <c r="H107" s="44"/>
      <c r="I107" s="44"/>
      <c r="J107" s="44"/>
      <c r="K107" s="44"/>
      <c r="L107" s="44">
        <v>1</v>
      </c>
      <c r="M107" s="44">
        <v>1</v>
      </c>
      <c r="N107" s="170">
        <f t="shared" si="58"/>
        <v>0</v>
      </c>
      <c r="O107" s="44"/>
      <c r="P107" s="44" t="s">
        <v>50</v>
      </c>
      <c r="Q107" s="170">
        <f t="shared" si="57"/>
        <v>3</v>
      </c>
      <c r="R107" s="44">
        <v>3</v>
      </c>
      <c r="S107" s="170">
        <f t="shared" si="52"/>
        <v>1</v>
      </c>
      <c r="T107" s="44">
        <v>1</v>
      </c>
      <c r="U107" s="296"/>
      <c r="EB107" s="4"/>
      <c r="EC107" s="4"/>
    </row>
    <row r="108" spans="1:133" ht="20.100000000000001" customHeight="1">
      <c r="A108" s="238" t="s">
        <v>368</v>
      </c>
      <c r="B108" s="263">
        <f t="shared" si="48"/>
        <v>113</v>
      </c>
      <c r="C108" s="262"/>
      <c r="D108" s="144">
        <f t="shared" si="59"/>
        <v>113</v>
      </c>
      <c r="E108" s="170">
        <f t="shared" si="61"/>
        <v>94</v>
      </c>
      <c r="F108" s="44">
        <v>17</v>
      </c>
      <c r="G108" s="44">
        <v>28</v>
      </c>
      <c r="H108" s="44">
        <v>2</v>
      </c>
      <c r="I108" s="44">
        <v>1</v>
      </c>
      <c r="J108" s="44">
        <v>1</v>
      </c>
      <c r="K108" s="44">
        <v>5</v>
      </c>
      <c r="L108" s="44">
        <v>35</v>
      </c>
      <c r="M108" s="44">
        <v>5</v>
      </c>
      <c r="N108" s="170">
        <f t="shared" si="58"/>
        <v>15</v>
      </c>
      <c r="O108" s="44">
        <v>8</v>
      </c>
      <c r="P108" s="44">
        <v>7</v>
      </c>
      <c r="Q108" s="170">
        <f t="shared" si="57"/>
        <v>3</v>
      </c>
      <c r="R108" s="44">
        <v>3</v>
      </c>
      <c r="S108" s="170">
        <f t="shared" si="52"/>
        <v>1</v>
      </c>
      <c r="T108" s="44">
        <v>1</v>
      </c>
      <c r="U108" s="296"/>
      <c r="EB108" s="4"/>
      <c r="EC108" s="4"/>
    </row>
    <row r="109" spans="1:133" ht="20.100000000000001" customHeight="1">
      <c r="A109" s="238" t="s">
        <v>356</v>
      </c>
      <c r="B109" s="262">
        <f t="shared" si="48"/>
        <v>9</v>
      </c>
      <c r="C109" s="262"/>
      <c r="D109" s="152">
        <f t="shared" si="59"/>
        <v>9</v>
      </c>
      <c r="E109" s="170">
        <f t="shared" si="61"/>
        <v>8</v>
      </c>
      <c r="F109" s="44">
        <v>5</v>
      </c>
      <c r="G109" s="44"/>
      <c r="H109" s="44">
        <v>1</v>
      </c>
      <c r="I109" s="44">
        <v>2</v>
      </c>
      <c r="J109" s="44"/>
      <c r="K109" s="44"/>
      <c r="L109" s="44"/>
      <c r="M109" s="44"/>
      <c r="N109" s="168">
        <f>SUM(O109:P109)</f>
        <v>0</v>
      </c>
      <c r="O109" s="44"/>
      <c r="P109" s="44"/>
      <c r="Q109" s="168">
        <f t="shared" si="57"/>
        <v>0</v>
      </c>
      <c r="R109" s="44"/>
      <c r="S109" s="168">
        <f t="shared" si="52"/>
        <v>1</v>
      </c>
      <c r="T109" s="44">
        <v>1</v>
      </c>
      <c r="U109" s="296"/>
      <c r="EB109" s="4"/>
      <c r="EC109" s="4"/>
    </row>
    <row r="110" spans="1:133" ht="20.100000000000001" customHeight="1">
      <c r="A110" s="239" t="s">
        <v>370</v>
      </c>
      <c r="B110" s="264">
        <f t="shared" si="48"/>
        <v>6</v>
      </c>
      <c r="C110" s="264"/>
      <c r="D110" s="145">
        <f t="shared" si="59"/>
        <v>6</v>
      </c>
      <c r="E110" s="174">
        <f t="shared" si="61"/>
        <v>1</v>
      </c>
      <c r="F110" s="46"/>
      <c r="G110" s="46" t="s">
        <v>50</v>
      </c>
      <c r="H110" s="46"/>
      <c r="I110" s="46"/>
      <c r="J110" s="46"/>
      <c r="K110" s="46">
        <v>1</v>
      </c>
      <c r="L110" s="46"/>
      <c r="M110" s="46"/>
      <c r="N110" s="174">
        <f t="shared" si="58"/>
        <v>0</v>
      </c>
      <c r="O110" s="46"/>
      <c r="P110" s="46"/>
      <c r="Q110" s="174">
        <f t="shared" si="57"/>
        <v>0</v>
      </c>
      <c r="R110" s="46"/>
      <c r="S110" s="174">
        <f t="shared" si="52"/>
        <v>5</v>
      </c>
      <c r="T110" s="46">
        <v>5</v>
      </c>
      <c r="U110" s="314"/>
      <c r="EB110" s="4"/>
      <c r="EC110" s="4"/>
    </row>
    <row r="111" spans="1:133" ht="131.25">
      <c r="A111" s="234" t="s">
        <v>82</v>
      </c>
      <c r="B111" s="262">
        <f t="shared" si="48"/>
        <v>207</v>
      </c>
      <c r="C111" s="262"/>
      <c r="D111" s="144">
        <f t="shared" si="59"/>
        <v>207</v>
      </c>
      <c r="E111" s="168">
        <f>SUM(F111:M111)</f>
        <v>128</v>
      </c>
      <c r="F111" s="91">
        <f t="shared" ref="F111:O111" si="62">SUM(F112:F116)</f>
        <v>36</v>
      </c>
      <c r="G111" s="91">
        <f t="shared" si="62"/>
        <v>22</v>
      </c>
      <c r="H111" s="91">
        <f t="shared" si="62"/>
        <v>6</v>
      </c>
      <c r="I111" s="91">
        <f t="shared" si="62"/>
        <v>21</v>
      </c>
      <c r="J111" s="91">
        <f t="shared" si="62"/>
        <v>2</v>
      </c>
      <c r="K111" s="91">
        <f t="shared" si="62"/>
        <v>16</v>
      </c>
      <c r="L111" s="91">
        <f t="shared" si="62"/>
        <v>18</v>
      </c>
      <c r="M111" s="91">
        <f t="shared" si="62"/>
        <v>7</v>
      </c>
      <c r="N111" s="91">
        <f t="shared" si="62"/>
        <v>18</v>
      </c>
      <c r="O111" s="91">
        <f t="shared" si="62"/>
        <v>7</v>
      </c>
      <c r="P111" s="91">
        <f>SUM(P112:P116)</f>
        <v>11</v>
      </c>
      <c r="Q111" s="169">
        <f t="shared" si="57"/>
        <v>10</v>
      </c>
      <c r="R111" s="91">
        <f>SUM(R112:R116)</f>
        <v>10</v>
      </c>
      <c r="S111" s="169">
        <f t="shared" si="52"/>
        <v>51</v>
      </c>
      <c r="T111" s="91">
        <f>SUM(T112:T116)</f>
        <v>51</v>
      </c>
      <c r="U111" s="301"/>
      <c r="EB111" s="4"/>
      <c r="EC111" s="4"/>
    </row>
    <row r="112" spans="1:133" ht="20.100000000000001" customHeight="1">
      <c r="A112" s="238" t="s">
        <v>612</v>
      </c>
      <c r="B112" s="263">
        <f t="shared" si="48"/>
        <v>126</v>
      </c>
      <c r="C112" s="263"/>
      <c r="D112" s="152">
        <f t="shared" si="59"/>
        <v>126</v>
      </c>
      <c r="E112" s="170">
        <f t="shared" si="61"/>
        <v>66</v>
      </c>
      <c r="F112" s="44">
        <v>18</v>
      </c>
      <c r="G112" s="44">
        <v>14</v>
      </c>
      <c r="H112" s="44">
        <v>1</v>
      </c>
      <c r="I112" s="44">
        <v>18</v>
      </c>
      <c r="J112" s="44">
        <v>1</v>
      </c>
      <c r="K112" s="44">
        <v>10</v>
      </c>
      <c r="L112" s="44">
        <v>2</v>
      </c>
      <c r="M112" s="44">
        <v>2</v>
      </c>
      <c r="N112" s="170">
        <f t="shared" si="58"/>
        <v>10</v>
      </c>
      <c r="O112" s="44">
        <v>2</v>
      </c>
      <c r="P112" s="44">
        <v>8</v>
      </c>
      <c r="Q112" s="170">
        <f t="shared" si="57"/>
        <v>4</v>
      </c>
      <c r="R112" s="44">
        <v>4</v>
      </c>
      <c r="S112" s="170">
        <f t="shared" si="52"/>
        <v>46</v>
      </c>
      <c r="T112" s="44">
        <v>46</v>
      </c>
      <c r="U112" s="296"/>
      <c r="EB112" s="4"/>
      <c r="EC112" s="4"/>
    </row>
    <row r="113" spans="1:133" ht="20.100000000000001" customHeight="1">
      <c r="A113" s="238" t="s">
        <v>200</v>
      </c>
      <c r="B113" s="263">
        <f t="shared" si="48"/>
        <v>14</v>
      </c>
      <c r="C113" s="263"/>
      <c r="D113" s="152">
        <f t="shared" si="59"/>
        <v>14</v>
      </c>
      <c r="E113" s="170">
        <f t="shared" si="61"/>
        <v>10</v>
      </c>
      <c r="F113" s="44">
        <v>2</v>
      </c>
      <c r="G113" s="44">
        <v>6</v>
      </c>
      <c r="H113" s="44"/>
      <c r="I113" s="44"/>
      <c r="J113" s="44"/>
      <c r="K113" s="44"/>
      <c r="L113" s="44">
        <v>1</v>
      </c>
      <c r="M113" s="44">
        <v>1</v>
      </c>
      <c r="N113" s="168">
        <f>SUM(O113:P113)</f>
        <v>0</v>
      </c>
      <c r="O113" s="44"/>
      <c r="P113" s="44"/>
      <c r="Q113" s="170">
        <f t="shared" si="57"/>
        <v>3</v>
      </c>
      <c r="R113" s="44">
        <v>3</v>
      </c>
      <c r="S113" s="170">
        <f t="shared" si="52"/>
        <v>1</v>
      </c>
      <c r="T113" s="44">
        <v>1</v>
      </c>
      <c r="U113" s="296"/>
      <c r="EB113" s="4"/>
      <c r="EC113" s="4"/>
    </row>
    <row r="114" spans="1:133" ht="20.100000000000001" customHeight="1">
      <c r="A114" s="238" t="s">
        <v>201</v>
      </c>
      <c r="B114" s="263">
        <f t="shared" si="48"/>
        <v>55</v>
      </c>
      <c r="C114" s="262"/>
      <c r="D114" s="144">
        <f t="shared" si="59"/>
        <v>55</v>
      </c>
      <c r="E114" s="170">
        <f t="shared" si="61"/>
        <v>43</v>
      </c>
      <c r="F114" s="44">
        <v>11</v>
      </c>
      <c r="G114" s="44">
        <v>2</v>
      </c>
      <c r="H114" s="44">
        <v>4</v>
      </c>
      <c r="I114" s="44">
        <v>1</v>
      </c>
      <c r="J114" s="44">
        <v>1</v>
      </c>
      <c r="K114" s="44">
        <v>5</v>
      </c>
      <c r="L114" s="44">
        <v>15</v>
      </c>
      <c r="M114" s="44">
        <v>4</v>
      </c>
      <c r="N114" s="170">
        <f t="shared" si="58"/>
        <v>8</v>
      </c>
      <c r="O114" s="44">
        <v>5</v>
      </c>
      <c r="P114" s="44">
        <v>3</v>
      </c>
      <c r="Q114" s="170">
        <f t="shared" si="57"/>
        <v>3</v>
      </c>
      <c r="R114" s="44">
        <v>3</v>
      </c>
      <c r="S114" s="170">
        <f t="shared" si="52"/>
        <v>1</v>
      </c>
      <c r="T114" s="44">
        <v>1</v>
      </c>
      <c r="U114" s="296"/>
      <c r="EB114" s="4"/>
      <c r="EC114" s="4"/>
    </row>
    <row r="115" spans="1:133" ht="20.100000000000001" customHeight="1">
      <c r="A115" s="238" t="s">
        <v>369</v>
      </c>
      <c r="B115" s="263">
        <f t="shared" si="48"/>
        <v>9</v>
      </c>
      <c r="C115" s="263"/>
      <c r="D115" s="144">
        <f t="shared" si="59"/>
        <v>9</v>
      </c>
      <c r="E115" s="170">
        <f t="shared" si="61"/>
        <v>8</v>
      </c>
      <c r="F115" s="44">
        <v>5</v>
      </c>
      <c r="G115" s="44"/>
      <c r="H115" s="44">
        <v>1</v>
      </c>
      <c r="I115" s="44">
        <v>2</v>
      </c>
      <c r="J115" s="44"/>
      <c r="K115" s="44"/>
      <c r="L115" s="44"/>
      <c r="M115" s="44"/>
      <c r="N115" s="170">
        <f t="shared" si="58"/>
        <v>0</v>
      </c>
      <c r="O115" s="44"/>
      <c r="P115" s="44"/>
      <c r="Q115" s="168">
        <f t="shared" si="57"/>
        <v>0</v>
      </c>
      <c r="R115" s="44"/>
      <c r="S115" s="168">
        <f t="shared" si="52"/>
        <v>1</v>
      </c>
      <c r="T115" s="44">
        <v>1</v>
      </c>
      <c r="U115" s="296"/>
      <c r="EB115" s="4"/>
      <c r="EC115" s="4"/>
    </row>
    <row r="116" spans="1:133" ht="20.100000000000001" customHeight="1" thickBot="1">
      <c r="A116" s="450" t="s">
        <v>370</v>
      </c>
      <c r="B116" s="264">
        <f t="shared" si="48"/>
        <v>3</v>
      </c>
      <c r="C116" s="335"/>
      <c r="D116" s="336">
        <f t="shared" si="59"/>
        <v>3</v>
      </c>
      <c r="E116" s="337">
        <f t="shared" si="61"/>
        <v>1</v>
      </c>
      <c r="F116" s="451"/>
      <c r="G116" s="451"/>
      <c r="H116" s="451"/>
      <c r="I116" s="451"/>
      <c r="J116" s="451"/>
      <c r="K116" s="451">
        <v>1</v>
      </c>
      <c r="L116" s="451"/>
      <c r="M116" s="451"/>
      <c r="N116" s="337">
        <f t="shared" si="58"/>
        <v>0</v>
      </c>
      <c r="O116" s="451"/>
      <c r="P116" s="451"/>
      <c r="Q116" s="337">
        <f t="shared" si="57"/>
        <v>0</v>
      </c>
      <c r="R116" s="451"/>
      <c r="S116" s="337">
        <f t="shared" si="52"/>
        <v>2</v>
      </c>
      <c r="T116" s="451">
        <v>2</v>
      </c>
      <c r="U116" s="339"/>
      <c r="EB116" s="4"/>
      <c r="EC116" s="4"/>
    </row>
    <row r="117" spans="1:133">
      <c r="A117" s="449" t="s">
        <v>589</v>
      </c>
      <c r="B117" s="278"/>
      <c r="C117" s="513"/>
      <c r="D117" s="155"/>
      <c r="E117" s="175"/>
      <c r="F117" s="34"/>
      <c r="G117" s="34"/>
      <c r="H117" s="34"/>
      <c r="I117" s="34"/>
      <c r="J117" s="34"/>
      <c r="K117" s="34"/>
      <c r="L117" s="34"/>
      <c r="M117" s="34"/>
      <c r="N117" s="175"/>
      <c r="O117" s="34"/>
      <c r="P117" s="34"/>
      <c r="Q117" s="175"/>
      <c r="R117" s="34"/>
      <c r="S117" s="175"/>
      <c r="T117" s="34"/>
      <c r="U117" s="319"/>
      <c r="EB117" s="4"/>
      <c r="EC117" s="4"/>
    </row>
    <row r="118" spans="1:133" ht="55.5" customHeight="1">
      <c r="A118" s="231" t="s">
        <v>373</v>
      </c>
      <c r="B118" s="473">
        <v>3.43</v>
      </c>
      <c r="C118" s="473"/>
      <c r="D118" s="571">
        <v>3.91</v>
      </c>
      <c r="E118" s="182">
        <f>AVERAGE(F118:M118)</f>
        <v>3.9074999999999998</v>
      </c>
      <c r="F118" s="37">
        <v>4.6100000000000003</v>
      </c>
      <c r="G118" s="37">
        <v>3.95</v>
      </c>
      <c r="H118" s="37">
        <v>4.18</v>
      </c>
      <c r="I118" s="37">
        <v>3.89</v>
      </c>
      <c r="J118" s="37">
        <v>3.43</v>
      </c>
      <c r="K118" s="37">
        <v>4.1900000000000004</v>
      </c>
      <c r="L118" s="37">
        <v>3.51</v>
      </c>
      <c r="M118" s="37">
        <v>3.5</v>
      </c>
      <c r="N118" s="182">
        <v>3.91</v>
      </c>
      <c r="O118" s="37">
        <v>3.53</v>
      </c>
      <c r="P118" s="37">
        <v>4.66</v>
      </c>
      <c r="Q118" s="182">
        <f>AVERAGE(R118:R118)</f>
        <v>4.01</v>
      </c>
      <c r="R118" s="37">
        <v>4.01</v>
      </c>
      <c r="S118" s="182">
        <f>AVERAGE(T118:T118)</f>
        <v>4.13</v>
      </c>
      <c r="T118" s="37">
        <v>4.13</v>
      </c>
      <c r="U118" s="318" t="s">
        <v>76</v>
      </c>
      <c r="EB118" s="4"/>
      <c r="EC118" s="4"/>
    </row>
    <row r="119" spans="1:133" ht="56.25">
      <c r="A119" s="233" t="s">
        <v>374</v>
      </c>
      <c r="B119" s="274">
        <f>C119+D119</f>
        <v>150007</v>
      </c>
      <c r="C119" s="520">
        <f>C122+C124+C126+C128+C130</f>
        <v>86775</v>
      </c>
      <c r="D119" s="151">
        <f t="shared" ref="D119:D130" si="63">E119+N119+S119+Q119</f>
        <v>63232</v>
      </c>
      <c r="E119" s="168">
        <f t="shared" ref="E119:E130" si="64">SUM(F119:M119)</f>
        <v>47936</v>
      </c>
      <c r="F119" s="43">
        <f>F122+F124+F126+F128+F130</f>
        <v>16907</v>
      </c>
      <c r="G119" s="43">
        <f t="shared" ref="G119:H119" si="65">G122+G124+G126+G128+G130</f>
        <v>12656</v>
      </c>
      <c r="H119" s="43">
        <f t="shared" si="65"/>
        <v>1453</v>
      </c>
      <c r="I119" s="43">
        <f>I122+I124+I126+I128+I130</f>
        <v>8596</v>
      </c>
      <c r="J119" s="43"/>
      <c r="K119" s="43">
        <f t="shared" ref="K119:T119" si="66">K122+K124+K126+K128+K130</f>
        <v>3431</v>
      </c>
      <c r="L119" s="43">
        <f t="shared" si="66"/>
        <v>4616</v>
      </c>
      <c r="M119" s="43">
        <f t="shared" si="66"/>
        <v>277</v>
      </c>
      <c r="N119" s="43">
        <f t="shared" si="66"/>
        <v>1435</v>
      </c>
      <c r="O119" s="43">
        <f t="shared" si="66"/>
        <v>1435</v>
      </c>
      <c r="P119" s="43"/>
      <c r="Q119" s="43">
        <f t="shared" si="66"/>
        <v>6781</v>
      </c>
      <c r="R119" s="43">
        <f t="shared" si="66"/>
        <v>6781</v>
      </c>
      <c r="S119" s="43">
        <f>S122+S124+S126+S128+S130</f>
        <v>7080</v>
      </c>
      <c r="T119" s="43">
        <f t="shared" si="66"/>
        <v>7080</v>
      </c>
      <c r="U119" s="311"/>
      <c r="EB119" s="4"/>
      <c r="EC119" s="4"/>
    </row>
    <row r="120" spans="1:133" s="29" customFormat="1" ht="39" customHeight="1">
      <c r="A120" s="288" t="s">
        <v>375</v>
      </c>
      <c r="B120" s="262">
        <f t="shared" ref="B120:B129" si="67">C120+D120</f>
        <v>907</v>
      </c>
      <c r="C120" s="933">
        <f>C121+C123+C125+C127+C129</f>
        <v>278</v>
      </c>
      <c r="D120" s="151">
        <f t="shared" si="63"/>
        <v>629</v>
      </c>
      <c r="E120" s="183">
        <f t="shared" si="64"/>
        <v>424</v>
      </c>
      <c r="F120" s="84">
        <f t="shared" ref="F120:T120" si="68">F121+F123+F125+F127+F129</f>
        <v>143</v>
      </c>
      <c r="G120" s="84">
        <f t="shared" si="68"/>
        <v>27</v>
      </c>
      <c r="H120" s="84">
        <f t="shared" si="68"/>
        <v>27</v>
      </c>
      <c r="I120" s="84">
        <f t="shared" si="68"/>
        <v>86</v>
      </c>
      <c r="J120" s="84">
        <f t="shared" si="68"/>
        <v>23</v>
      </c>
      <c r="K120" s="84">
        <f t="shared" si="68"/>
        <v>49</v>
      </c>
      <c r="L120" s="84">
        <f t="shared" si="68"/>
        <v>47</v>
      </c>
      <c r="M120" s="84">
        <f t="shared" si="68"/>
        <v>22</v>
      </c>
      <c r="N120" s="84">
        <f t="shared" si="68"/>
        <v>33</v>
      </c>
      <c r="O120" s="84">
        <f t="shared" si="68"/>
        <v>14</v>
      </c>
      <c r="P120" s="84">
        <f t="shared" si="68"/>
        <v>19</v>
      </c>
      <c r="Q120" s="84">
        <f t="shared" si="68"/>
        <v>58</v>
      </c>
      <c r="R120" s="84">
        <f t="shared" si="68"/>
        <v>58</v>
      </c>
      <c r="S120" s="84">
        <f t="shared" si="68"/>
        <v>114</v>
      </c>
      <c r="T120" s="84">
        <f t="shared" si="68"/>
        <v>114</v>
      </c>
      <c r="U120" s="440" t="s">
        <v>22</v>
      </c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</row>
    <row r="121" spans="1:133" ht="20.100000000000001" customHeight="1">
      <c r="A121" s="215" t="s">
        <v>376</v>
      </c>
      <c r="B121" s="263">
        <f t="shared" si="67"/>
        <v>505</v>
      </c>
      <c r="C121" s="934">
        <v>99</v>
      </c>
      <c r="D121" s="152">
        <f t="shared" si="63"/>
        <v>406</v>
      </c>
      <c r="E121" s="168">
        <f t="shared" si="64"/>
        <v>291</v>
      </c>
      <c r="F121" s="42">
        <v>126</v>
      </c>
      <c r="G121" s="42">
        <v>8</v>
      </c>
      <c r="H121" s="42">
        <v>17</v>
      </c>
      <c r="I121" s="42">
        <v>44</v>
      </c>
      <c r="J121" s="42">
        <v>13</v>
      </c>
      <c r="K121" s="42">
        <v>41</v>
      </c>
      <c r="L121" s="42">
        <v>25</v>
      </c>
      <c r="M121" s="42">
        <v>17</v>
      </c>
      <c r="N121" s="168">
        <f t="shared" ref="N121:N130" si="69">SUM(O121:P121)</f>
        <v>9</v>
      </c>
      <c r="O121" s="42">
        <v>7</v>
      </c>
      <c r="P121" s="42">
        <v>2</v>
      </c>
      <c r="Q121" s="168">
        <f t="shared" ref="Q121:Q130" si="70">SUM(R121:R121)</f>
        <v>37</v>
      </c>
      <c r="R121" s="42">
        <v>37</v>
      </c>
      <c r="S121" s="168">
        <f t="shared" ref="S121:S130" si="71">SUM(T121:T121)</f>
        <v>69</v>
      </c>
      <c r="T121" s="42">
        <v>69</v>
      </c>
      <c r="U121" s="441" t="s">
        <v>23</v>
      </c>
      <c r="EB121" s="4"/>
      <c r="EC121" s="4"/>
    </row>
    <row r="122" spans="1:133" ht="36" customHeight="1">
      <c r="A122" s="237" t="s">
        <v>377</v>
      </c>
      <c r="B122" s="263">
        <f t="shared" si="67"/>
        <v>64658</v>
      </c>
      <c r="C122" s="934">
        <v>34051</v>
      </c>
      <c r="D122" s="152">
        <f t="shared" si="63"/>
        <v>30607</v>
      </c>
      <c r="E122" s="170">
        <f t="shared" si="64"/>
        <v>25509</v>
      </c>
      <c r="F122" s="41">
        <v>12745</v>
      </c>
      <c r="G122" s="41">
        <v>3710</v>
      </c>
      <c r="H122" s="41">
        <v>896</v>
      </c>
      <c r="I122" s="41">
        <v>4251</v>
      </c>
      <c r="J122" s="44"/>
      <c r="K122" s="41">
        <v>3066</v>
      </c>
      <c r="L122" s="41">
        <v>786</v>
      </c>
      <c r="M122" s="41">
        <v>55</v>
      </c>
      <c r="N122" s="170">
        <f t="shared" si="69"/>
        <v>328</v>
      </c>
      <c r="O122" s="41">
        <v>328</v>
      </c>
      <c r="P122" s="41"/>
      <c r="Q122" s="170">
        <f t="shared" si="70"/>
        <v>1756</v>
      </c>
      <c r="R122" s="41">
        <v>1756</v>
      </c>
      <c r="S122" s="170">
        <f t="shared" si="71"/>
        <v>3014</v>
      </c>
      <c r="T122" s="41">
        <v>3014</v>
      </c>
      <c r="U122" s="442" t="s">
        <v>123</v>
      </c>
      <c r="EB122" s="4"/>
      <c r="EC122" s="4"/>
    </row>
    <row r="123" spans="1:133" ht="36" customHeight="1">
      <c r="A123" s="237" t="s">
        <v>378</v>
      </c>
      <c r="B123" s="263">
        <f>C123+D123</f>
        <v>69</v>
      </c>
      <c r="C123" s="934">
        <v>48</v>
      </c>
      <c r="D123" s="152">
        <f t="shared" si="63"/>
        <v>21</v>
      </c>
      <c r="E123" s="169">
        <f t="shared" si="64"/>
        <v>9</v>
      </c>
      <c r="F123" s="41">
        <v>1</v>
      </c>
      <c r="G123" s="41">
        <v>2</v>
      </c>
      <c r="H123" s="41">
        <v>2</v>
      </c>
      <c r="I123" s="41">
        <v>2</v>
      </c>
      <c r="J123" s="41">
        <v>1</v>
      </c>
      <c r="K123" s="41"/>
      <c r="L123" s="41">
        <v>1</v>
      </c>
      <c r="M123" s="41"/>
      <c r="N123" s="169">
        <f t="shared" si="69"/>
        <v>2</v>
      </c>
      <c r="O123" s="41">
        <v>1</v>
      </c>
      <c r="P123" s="41">
        <v>1</v>
      </c>
      <c r="Q123" s="169">
        <f t="shared" si="70"/>
        <v>2</v>
      </c>
      <c r="R123" s="41">
        <v>2</v>
      </c>
      <c r="S123" s="169">
        <f t="shared" si="71"/>
        <v>8</v>
      </c>
      <c r="T123" s="41">
        <v>8</v>
      </c>
      <c r="U123" s="441" t="s">
        <v>23</v>
      </c>
      <c r="EB123" s="4"/>
      <c r="EC123" s="4"/>
    </row>
    <row r="124" spans="1:133" ht="36" customHeight="1">
      <c r="A124" s="214" t="s">
        <v>377</v>
      </c>
      <c r="B124" s="263">
        <f t="shared" si="67"/>
        <v>14644</v>
      </c>
      <c r="C124" s="934">
        <v>8853</v>
      </c>
      <c r="D124" s="152">
        <f t="shared" si="63"/>
        <v>5791</v>
      </c>
      <c r="E124" s="170">
        <f t="shared" si="64"/>
        <v>4204</v>
      </c>
      <c r="F124" s="42">
        <v>500</v>
      </c>
      <c r="G124" s="42">
        <v>3020</v>
      </c>
      <c r="H124" s="42">
        <v>130</v>
      </c>
      <c r="I124" s="42">
        <v>450</v>
      </c>
      <c r="J124" s="159"/>
      <c r="K124" s="42"/>
      <c r="L124" s="42">
        <v>104</v>
      </c>
      <c r="M124" s="42"/>
      <c r="N124" s="170">
        <f t="shared" si="69"/>
        <v>200</v>
      </c>
      <c r="O124" s="42">
        <v>200</v>
      </c>
      <c r="P124" s="42"/>
      <c r="Q124" s="170">
        <f t="shared" si="70"/>
        <v>860</v>
      </c>
      <c r="R124" s="42">
        <v>860</v>
      </c>
      <c r="S124" s="170">
        <f t="shared" si="71"/>
        <v>527</v>
      </c>
      <c r="T124" s="42">
        <v>527</v>
      </c>
      <c r="U124" s="442" t="s">
        <v>123</v>
      </c>
      <c r="EB124" s="4"/>
      <c r="EC124" s="4"/>
    </row>
    <row r="125" spans="1:133" ht="36" customHeight="1">
      <c r="A125" s="214" t="s">
        <v>379</v>
      </c>
      <c r="B125" s="263">
        <f t="shared" si="67"/>
        <v>78</v>
      </c>
      <c r="C125" s="934">
        <v>50</v>
      </c>
      <c r="D125" s="152">
        <f t="shared" si="63"/>
        <v>28</v>
      </c>
      <c r="E125" s="170">
        <f t="shared" si="64"/>
        <v>18</v>
      </c>
      <c r="F125" s="42">
        <v>2</v>
      </c>
      <c r="G125" s="42">
        <v>3</v>
      </c>
      <c r="H125" s="42">
        <v>1</v>
      </c>
      <c r="I125" s="42">
        <v>1</v>
      </c>
      <c r="J125" s="42">
        <v>2</v>
      </c>
      <c r="K125" s="42">
        <v>6</v>
      </c>
      <c r="L125" s="42">
        <v>2</v>
      </c>
      <c r="M125" s="42">
        <v>1</v>
      </c>
      <c r="N125" s="183">
        <f t="shared" si="69"/>
        <v>2</v>
      </c>
      <c r="O125" s="42">
        <v>1</v>
      </c>
      <c r="P125" s="42">
        <v>1</v>
      </c>
      <c r="Q125" s="169">
        <f t="shared" si="70"/>
        <v>5</v>
      </c>
      <c r="R125" s="42">
        <v>5</v>
      </c>
      <c r="S125" s="169">
        <f t="shared" si="71"/>
        <v>3</v>
      </c>
      <c r="T125" s="42">
        <v>3</v>
      </c>
      <c r="U125" s="441" t="s">
        <v>24</v>
      </c>
      <c r="EB125" s="4"/>
      <c r="EC125" s="4"/>
    </row>
    <row r="126" spans="1:133" ht="36" customHeight="1">
      <c r="A126" s="214" t="s">
        <v>377</v>
      </c>
      <c r="B126" s="263">
        <f>C126+D126</f>
        <v>5587</v>
      </c>
      <c r="C126" s="934">
        <v>3896</v>
      </c>
      <c r="D126" s="144">
        <f t="shared" si="63"/>
        <v>1691</v>
      </c>
      <c r="E126" s="168">
        <f t="shared" si="64"/>
        <v>1066</v>
      </c>
      <c r="F126" s="42">
        <v>91</v>
      </c>
      <c r="G126" s="42">
        <v>190</v>
      </c>
      <c r="H126" s="42">
        <v>60</v>
      </c>
      <c r="I126" s="42">
        <v>100</v>
      </c>
      <c r="J126" s="159"/>
      <c r="K126" s="42">
        <v>205</v>
      </c>
      <c r="L126" s="42">
        <v>368</v>
      </c>
      <c r="M126" s="42">
        <v>52</v>
      </c>
      <c r="N126" s="168">
        <f t="shared" si="69"/>
        <v>90</v>
      </c>
      <c r="O126" s="42">
        <v>90</v>
      </c>
      <c r="P126" s="42"/>
      <c r="Q126" s="168">
        <f t="shared" si="70"/>
        <v>412</v>
      </c>
      <c r="R126" s="42">
        <v>412</v>
      </c>
      <c r="S126" s="168">
        <f t="shared" si="71"/>
        <v>123</v>
      </c>
      <c r="T126" s="42">
        <v>123</v>
      </c>
      <c r="U126" s="442" t="s">
        <v>123</v>
      </c>
      <c r="EB126" s="4"/>
      <c r="EC126" s="4"/>
    </row>
    <row r="127" spans="1:133" ht="36" customHeight="1">
      <c r="A127" s="237" t="s">
        <v>380</v>
      </c>
      <c r="B127" s="263">
        <f t="shared" si="67"/>
        <v>145</v>
      </c>
      <c r="C127" s="935">
        <v>43</v>
      </c>
      <c r="D127" s="152">
        <f t="shared" si="63"/>
        <v>102</v>
      </c>
      <c r="E127" s="170">
        <f t="shared" si="64"/>
        <v>45</v>
      </c>
      <c r="F127" s="41">
        <v>13</v>
      </c>
      <c r="G127" s="41">
        <v>7</v>
      </c>
      <c r="H127" s="41">
        <v>6</v>
      </c>
      <c r="I127" s="41">
        <v>1</v>
      </c>
      <c r="J127" s="41">
        <v>4</v>
      </c>
      <c r="K127" s="41">
        <v>1</v>
      </c>
      <c r="L127" s="41">
        <v>12</v>
      </c>
      <c r="M127" s="41">
        <v>1</v>
      </c>
      <c r="N127" s="170">
        <f t="shared" si="69"/>
        <v>15</v>
      </c>
      <c r="O127" s="41">
        <v>2</v>
      </c>
      <c r="P127" s="41">
        <v>13</v>
      </c>
      <c r="Q127" s="170">
        <f t="shared" si="70"/>
        <v>12</v>
      </c>
      <c r="R127" s="41">
        <v>12</v>
      </c>
      <c r="S127" s="170">
        <f t="shared" si="71"/>
        <v>30</v>
      </c>
      <c r="T127" s="41">
        <v>30</v>
      </c>
      <c r="U127" s="441" t="s">
        <v>24</v>
      </c>
      <c r="EB127" s="4"/>
      <c r="EC127" s="4"/>
    </row>
    <row r="128" spans="1:133" ht="36" customHeight="1">
      <c r="A128" s="237" t="s">
        <v>377</v>
      </c>
      <c r="B128" s="263">
        <f t="shared" si="67"/>
        <v>42452</v>
      </c>
      <c r="C128" s="935">
        <v>27196</v>
      </c>
      <c r="D128" s="152">
        <f t="shared" si="63"/>
        <v>15256</v>
      </c>
      <c r="E128" s="170">
        <f t="shared" si="64"/>
        <v>8381</v>
      </c>
      <c r="F128" s="41">
        <v>3321</v>
      </c>
      <c r="G128" s="41">
        <v>2470</v>
      </c>
      <c r="H128" s="41">
        <v>317</v>
      </c>
      <c r="I128" s="41">
        <v>90</v>
      </c>
      <c r="J128" s="44"/>
      <c r="K128" s="41">
        <v>130</v>
      </c>
      <c r="L128" s="41">
        <v>1943</v>
      </c>
      <c r="M128" s="41">
        <v>110</v>
      </c>
      <c r="N128" s="169">
        <f t="shared" si="69"/>
        <v>356</v>
      </c>
      <c r="O128" s="41">
        <v>356</v>
      </c>
      <c r="P128" s="41"/>
      <c r="Q128" s="170">
        <f t="shared" si="70"/>
        <v>3303</v>
      </c>
      <c r="R128" s="41">
        <v>3303</v>
      </c>
      <c r="S128" s="170">
        <f t="shared" si="71"/>
        <v>3216</v>
      </c>
      <c r="T128" s="41">
        <v>3216</v>
      </c>
      <c r="U128" s="439" t="s">
        <v>123</v>
      </c>
      <c r="EB128" s="4"/>
      <c r="EC128" s="4"/>
    </row>
    <row r="129" spans="1:133" ht="36" customHeight="1">
      <c r="A129" s="218" t="s">
        <v>381</v>
      </c>
      <c r="B129" s="263">
        <f t="shared" si="67"/>
        <v>110</v>
      </c>
      <c r="C129" s="935">
        <v>38</v>
      </c>
      <c r="D129" s="152">
        <f t="shared" si="63"/>
        <v>72</v>
      </c>
      <c r="E129" s="168">
        <f t="shared" si="64"/>
        <v>61</v>
      </c>
      <c r="F129" s="41">
        <v>1</v>
      </c>
      <c r="G129" s="41">
        <v>7</v>
      </c>
      <c r="H129" s="41">
        <v>1</v>
      </c>
      <c r="I129" s="41">
        <v>38</v>
      </c>
      <c r="J129" s="41">
        <v>3</v>
      </c>
      <c r="K129" s="41">
        <v>1</v>
      </c>
      <c r="L129" s="41">
        <v>7</v>
      </c>
      <c r="M129" s="41">
        <v>3</v>
      </c>
      <c r="N129" s="170">
        <f t="shared" si="69"/>
        <v>5</v>
      </c>
      <c r="O129" s="41">
        <v>3</v>
      </c>
      <c r="P129" s="41">
        <v>2</v>
      </c>
      <c r="Q129" s="168">
        <f t="shared" si="70"/>
        <v>2</v>
      </c>
      <c r="R129" s="41">
        <v>2</v>
      </c>
      <c r="S129" s="168">
        <f t="shared" si="71"/>
        <v>4</v>
      </c>
      <c r="T129" s="41">
        <v>4</v>
      </c>
      <c r="U129" s="333" t="s">
        <v>23</v>
      </c>
      <c r="EB129" s="4"/>
      <c r="EC129" s="4"/>
    </row>
    <row r="130" spans="1:133" ht="36" customHeight="1" thickBot="1">
      <c r="A130" s="334" t="s">
        <v>377</v>
      </c>
      <c r="B130" s="335">
        <f>C130+D130</f>
        <v>22666</v>
      </c>
      <c r="C130" s="936">
        <v>12779</v>
      </c>
      <c r="D130" s="336">
        <f t="shared" si="63"/>
        <v>9887</v>
      </c>
      <c r="E130" s="337">
        <f t="shared" si="64"/>
        <v>8776</v>
      </c>
      <c r="F130" s="338">
        <v>250</v>
      </c>
      <c r="G130" s="338">
        <v>3266</v>
      </c>
      <c r="H130" s="338">
        <v>50</v>
      </c>
      <c r="I130" s="338">
        <v>3705</v>
      </c>
      <c r="J130" s="451"/>
      <c r="K130" s="338">
        <v>30</v>
      </c>
      <c r="L130" s="338">
        <v>1415</v>
      </c>
      <c r="M130" s="338">
        <v>60</v>
      </c>
      <c r="N130" s="337">
        <f t="shared" si="69"/>
        <v>461</v>
      </c>
      <c r="O130" s="338">
        <v>461</v>
      </c>
      <c r="P130" s="338"/>
      <c r="Q130" s="337">
        <f t="shared" si="70"/>
        <v>450</v>
      </c>
      <c r="R130" s="338">
        <v>450</v>
      </c>
      <c r="S130" s="337">
        <f t="shared" si="71"/>
        <v>200</v>
      </c>
      <c r="T130" s="338">
        <v>200</v>
      </c>
      <c r="U130" s="339"/>
      <c r="EB130" s="4"/>
      <c r="EC130" s="4"/>
    </row>
    <row r="131" spans="1:133">
      <c r="A131" s="208" t="s">
        <v>593</v>
      </c>
      <c r="B131" s="261"/>
      <c r="C131" s="261" t="s">
        <v>50</v>
      </c>
      <c r="D131" s="154"/>
      <c r="E131" s="175"/>
      <c r="F131" s="34"/>
      <c r="G131" s="34"/>
      <c r="H131" s="34"/>
      <c r="I131" s="34"/>
      <c r="J131" s="34"/>
      <c r="K131" s="34"/>
      <c r="L131" s="34"/>
      <c r="M131" s="34"/>
      <c r="N131" s="175"/>
      <c r="O131" s="34"/>
      <c r="P131" s="34"/>
      <c r="Q131" s="175"/>
      <c r="R131" s="34"/>
      <c r="S131" s="175"/>
      <c r="T131" s="34"/>
      <c r="U131" s="319"/>
      <c r="EB131" s="4"/>
      <c r="EC131" s="4"/>
    </row>
    <row r="132" spans="1:133" ht="73.5" customHeight="1">
      <c r="A132" s="223" t="s">
        <v>382</v>
      </c>
      <c r="B132" s="486">
        <f t="shared" ref="B132:B143" si="72">C132+D132</f>
        <v>22707037.050000001</v>
      </c>
      <c r="C132" s="506">
        <f>C133+C134</f>
        <v>3865450</v>
      </c>
      <c r="D132" s="487">
        <f t="shared" ref="D132:D150" si="73">E132+N132+S132+Q132</f>
        <v>18841587.050000001</v>
      </c>
      <c r="E132" s="488">
        <f t="shared" ref="E132:E150" si="74">SUM(F132:M132)</f>
        <v>15660252.33</v>
      </c>
      <c r="F132" s="489">
        <f t="shared" ref="F132:P132" si="75">SUM(F133:F134)</f>
        <v>5069225</v>
      </c>
      <c r="G132" s="489">
        <f t="shared" si="75"/>
        <v>125000</v>
      </c>
      <c r="H132" s="489">
        <f t="shared" si="75"/>
        <v>536750</v>
      </c>
      <c r="I132" s="489">
        <f t="shared" si="75"/>
        <v>1474140</v>
      </c>
      <c r="J132" s="489">
        <f t="shared" si="75"/>
        <v>3867280</v>
      </c>
      <c r="K132" s="489">
        <f t="shared" si="75"/>
        <v>1968566</v>
      </c>
      <c r="L132" s="489">
        <f t="shared" si="75"/>
        <v>2550333.33</v>
      </c>
      <c r="M132" s="489">
        <f t="shared" si="75"/>
        <v>68958</v>
      </c>
      <c r="N132" s="489">
        <f t="shared" si="75"/>
        <v>211612.5</v>
      </c>
      <c r="O132" s="489">
        <f t="shared" si="75"/>
        <v>186612.5</v>
      </c>
      <c r="P132" s="489">
        <f t="shared" si="75"/>
        <v>25000</v>
      </c>
      <c r="Q132" s="488">
        <f t="shared" ref="Q132:Q150" si="76">SUM(R132:R132)</f>
        <v>397000</v>
      </c>
      <c r="R132" s="489">
        <f>SUM(R133:R134)</f>
        <v>397000</v>
      </c>
      <c r="S132" s="488">
        <f t="shared" ref="S132:S150" si="77">SUM(T132:T132)</f>
        <v>2572722.2200000002</v>
      </c>
      <c r="T132" s="489">
        <f>SUM(T133:T134)</f>
        <v>2572722.2200000002</v>
      </c>
      <c r="U132" s="320" t="s">
        <v>143</v>
      </c>
      <c r="EB132" s="4"/>
      <c r="EC132" s="4"/>
    </row>
    <row r="133" spans="1:133" ht="36" customHeight="1">
      <c r="A133" s="218" t="s">
        <v>263</v>
      </c>
      <c r="B133" s="486">
        <f t="shared" si="72"/>
        <v>18405321.550000001</v>
      </c>
      <c r="C133" s="507">
        <v>3633700</v>
      </c>
      <c r="D133" s="490">
        <f t="shared" si="73"/>
        <v>14771621.550000001</v>
      </c>
      <c r="E133" s="491">
        <f t="shared" si="74"/>
        <v>12232399.33</v>
      </c>
      <c r="F133" s="492">
        <v>4159000</v>
      </c>
      <c r="G133" s="492"/>
      <c r="H133" s="492">
        <v>290000</v>
      </c>
      <c r="I133" s="492"/>
      <c r="J133" s="492">
        <v>3540000</v>
      </c>
      <c r="K133" s="492">
        <v>1833066</v>
      </c>
      <c r="L133" s="492">
        <v>2410333.33</v>
      </c>
      <c r="M133" s="492"/>
      <c r="N133" s="491">
        <f t="shared" ref="N133:N150" si="78">SUM(O133:P133)</f>
        <v>25000</v>
      </c>
      <c r="O133" s="492"/>
      <c r="P133" s="492">
        <v>25000</v>
      </c>
      <c r="Q133" s="491">
        <f t="shared" si="76"/>
        <v>272000</v>
      </c>
      <c r="R133" s="492">
        <v>272000</v>
      </c>
      <c r="S133" s="491">
        <f t="shared" si="77"/>
        <v>2242222.2200000002</v>
      </c>
      <c r="T133" s="492">
        <v>2242222.2200000002</v>
      </c>
      <c r="U133" s="321" t="s">
        <v>143</v>
      </c>
      <c r="EB133" s="4"/>
      <c r="EC133" s="4"/>
    </row>
    <row r="134" spans="1:133" ht="36" customHeight="1">
      <c r="A134" s="217" t="s">
        <v>115</v>
      </c>
      <c r="B134" s="493">
        <f t="shared" si="72"/>
        <v>4301715.5</v>
      </c>
      <c r="C134" s="508">
        <v>231750</v>
      </c>
      <c r="D134" s="494">
        <f t="shared" si="73"/>
        <v>4069965.5</v>
      </c>
      <c r="E134" s="495">
        <f t="shared" si="74"/>
        <v>3427853</v>
      </c>
      <c r="F134" s="496">
        <v>910225</v>
      </c>
      <c r="G134" s="496">
        <v>125000</v>
      </c>
      <c r="H134" s="496">
        <v>246750</v>
      </c>
      <c r="I134" s="496">
        <v>1474140</v>
      </c>
      <c r="J134" s="496">
        <v>327280</v>
      </c>
      <c r="K134" s="496">
        <v>135500</v>
      </c>
      <c r="L134" s="496">
        <v>140000</v>
      </c>
      <c r="M134" s="496">
        <v>68958</v>
      </c>
      <c r="N134" s="495">
        <f t="shared" si="78"/>
        <v>186612.5</v>
      </c>
      <c r="O134" s="496">
        <v>186612.5</v>
      </c>
      <c r="P134" s="496"/>
      <c r="Q134" s="495">
        <f t="shared" si="76"/>
        <v>125000</v>
      </c>
      <c r="R134" s="496">
        <v>125000</v>
      </c>
      <c r="S134" s="495">
        <f t="shared" si="77"/>
        <v>330500</v>
      </c>
      <c r="T134" s="496">
        <v>330500</v>
      </c>
      <c r="U134" s="320" t="s">
        <v>144</v>
      </c>
      <c r="EB134" s="4"/>
      <c r="EC134" s="4"/>
    </row>
    <row r="135" spans="1:133" ht="56.25" customHeight="1">
      <c r="A135" s="240" t="s">
        <v>613</v>
      </c>
      <c r="B135" s="262">
        <f t="shared" si="72"/>
        <v>121</v>
      </c>
      <c r="C135" s="279">
        <f>C136+C137</f>
        <v>7</v>
      </c>
      <c r="D135" s="150">
        <f t="shared" si="73"/>
        <v>114</v>
      </c>
      <c r="E135" s="169">
        <f t="shared" si="74"/>
        <v>93</v>
      </c>
      <c r="F135" s="90">
        <f>SUM(F136:F137)</f>
        <v>25</v>
      </c>
      <c r="G135" s="90">
        <f t="shared" ref="G135:T135" si="79">SUM(G136:G137)</f>
        <v>3</v>
      </c>
      <c r="H135" s="90">
        <f t="shared" si="79"/>
        <v>4</v>
      </c>
      <c r="I135" s="90">
        <f t="shared" si="79"/>
        <v>18</v>
      </c>
      <c r="J135" s="90">
        <f t="shared" si="79"/>
        <v>27</v>
      </c>
      <c r="K135" s="90">
        <f t="shared" si="79"/>
        <v>8</v>
      </c>
      <c r="L135" s="90">
        <f t="shared" si="79"/>
        <v>5</v>
      </c>
      <c r="M135" s="90">
        <f t="shared" si="79"/>
        <v>3</v>
      </c>
      <c r="N135" s="169">
        <f t="shared" si="78"/>
        <v>6</v>
      </c>
      <c r="O135" s="90">
        <f t="shared" si="79"/>
        <v>5</v>
      </c>
      <c r="P135" s="90">
        <f t="shared" si="79"/>
        <v>1</v>
      </c>
      <c r="Q135" s="169">
        <f t="shared" si="76"/>
        <v>4</v>
      </c>
      <c r="R135" s="90">
        <f t="shared" si="79"/>
        <v>4</v>
      </c>
      <c r="S135" s="169">
        <f t="shared" si="77"/>
        <v>11</v>
      </c>
      <c r="T135" s="90">
        <f t="shared" si="79"/>
        <v>11</v>
      </c>
      <c r="U135" s="322" t="s">
        <v>143</v>
      </c>
      <c r="EB135" s="4"/>
      <c r="EC135" s="4"/>
    </row>
    <row r="136" spans="1:133" ht="37.5">
      <c r="A136" s="218" t="s">
        <v>116</v>
      </c>
      <c r="B136" s="262">
        <f t="shared" si="72"/>
        <v>63</v>
      </c>
      <c r="C136" s="509">
        <v>5</v>
      </c>
      <c r="D136" s="143">
        <f t="shared" si="73"/>
        <v>58</v>
      </c>
      <c r="E136" s="170">
        <f t="shared" si="74"/>
        <v>48</v>
      </c>
      <c r="F136" s="41">
        <v>14</v>
      </c>
      <c r="G136" s="41"/>
      <c r="H136" s="41">
        <v>1</v>
      </c>
      <c r="I136" s="41"/>
      <c r="J136" s="41">
        <v>23</v>
      </c>
      <c r="K136" s="41">
        <v>7</v>
      </c>
      <c r="L136" s="41">
        <v>3</v>
      </c>
      <c r="M136" s="41"/>
      <c r="N136" s="170">
        <f t="shared" si="78"/>
        <v>1</v>
      </c>
      <c r="O136" s="41"/>
      <c r="P136" s="41">
        <v>1</v>
      </c>
      <c r="Q136" s="170">
        <f t="shared" si="76"/>
        <v>2</v>
      </c>
      <c r="R136" s="41">
        <v>2</v>
      </c>
      <c r="S136" s="170">
        <f t="shared" si="77"/>
        <v>7</v>
      </c>
      <c r="T136" s="41">
        <v>7</v>
      </c>
      <c r="U136" s="323" t="s">
        <v>50</v>
      </c>
      <c r="EB136" s="4"/>
      <c r="EC136" s="4"/>
    </row>
    <row r="137" spans="1:133" ht="37.5">
      <c r="A137" s="207" t="s">
        <v>117</v>
      </c>
      <c r="B137" s="264">
        <f t="shared" si="72"/>
        <v>58</v>
      </c>
      <c r="C137" s="275">
        <v>2</v>
      </c>
      <c r="D137" s="145">
        <f t="shared" si="73"/>
        <v>56</v>
      </c>
      <c r="E137" s="167">
        <f t="shared" si="74"/>
        <v>45</v>
      </c>
      <c r="F137" s="47">
        <v>11</v>
      </c>
      <c r="G137" s="47">
        <v>3</v>
      </c>
      <c r="H137" s="47">
        <v>3</v>
      </c>
      <c r="I137" s="47">
        <v>18</v>
      </c>
      <c r="J137" s="47">
        <v>4</v>
      </c>
      <c r="K137" s="47">
        <v>1</v>
      </c>
      <c r="L137" s="47">
        <v>2</v>
      </c>
      <c r="M137" s="47">
        <v>3</v>
      </c>
      <c r="N137" s="174">
        <f t="shared" si="78"/>
        <v>5</v>
      </c>
      <c r="O137" s="47">
        <v>5</v>
      </c>
      <c r="P137" s="47"/>
      <c r="Q137" s="167">
        <f t="shared" si="76"/>
        <v>2</v>
      </c>
      <c r="R137" s="47">
        <v>2</v>
      </c>
      <c r="S137" s="167">
        <f t="shared" si="77"/>
        <v>4</v>
      </c>
      <c r="T137" s="47">
        <v>4</v>
      </c>
      <c r="U137" s="305" t="s">
        <v>50</v>
      </c>
      <c r="EB137" s="4"/>
      <c r="EC137" s="4"/>
    </row>
    <row r="138" spans="1:133" ht="75" customHeight="1">
      <c r="A138" s="512" t="s">
        <v>118</v>
      </c>
      <c r="B138" s="262">
        <f t="shared" si="72"/>
        <v>113</v>
      </c>
      <c r="C138" s="262">
        <f>C139+C140+C143</f>
        <v>5</v>
      </c>
      <c r="D138" s="150">
        <f t="shared" si="73"/>
        <v>108</v>
      </c>
      <c r="E138" s="168">
        <f t="shared" si="74"/>
        <v>41</v>
      </c>
      <c r="F138" s="84">
        <f t="shared" ref="F138:P138" si="80">F139+F140+F141+F143</f>
        <v>15</v>
      </c>
      <c r="G138" s="84">
        <f t="shared" si="80"/>
        <v>2</v>
      </c>
      <c r="H138" s="84">
        <f t="shared" si="80"/>
        <v>3</v>
      </c>
      <c r="I138" s="84">
        <f t="shared" si="80"/>
        <v>9</v>
      </c>
      <c r="J138" s="750">
        <v>4</v>
      </c>
      <c r="K138" s="84">
        <f t="shared" si="80"/>
        <v>2</v>
      </c>
      <c r="L138" s="751">
        <v>3</v>
      </c>
      <c r="M138" s="751">
        <v>3</v>
      </c>
      <c r="N138" s="169">
        <f t="shared" si="78"/>
        <v>24</v>
      </c>
      <c r="O138" s="84">
        <f t="shared" si="80"/>
        <v>5</v>
      </c>
      <c r="P138" s="84">
        <f t="shared" si="80"/>
        <v>19</v>
      </c>
      <c r="Q138" s="168">
        <f t="shared" si="76"/>
        <v>21</v>
      </c>
      <c r="R138" s="84">
        <f>R139+R140+R141+R143</f>
        <v>21</v>
      </c>
      <c r="S138" s="168">
        <f t="shared" si="77"/>
        <v>22</v>
      </c>
      <c r="T138" s="751">
        <f>T139+T140+T141+T143</f>
        <v>22</v>
      </c>
      <c r="U138" s="324" t="s">
        <v>144</v>
      </c>
      <c r="EB138" s="4"/>
      <c r="EC138" s="4"/>
    </row>
    <row r="139" spans="1:133" ht="36" customHeight="1">
      <c r="A139" s="218" t="s">
        <v>119</v>
      </c>
      <c r="B139" s="262">
        <f>C139+D139</f>
        <v>61</v>
      </c>
      <c r="C139" s="509">
        <v>2</v>
      </c>
      <c r="D139" s="143">
        <f t="shared" si="73"/>
        <v>59</v>
      </c>
      <c r="E139" s="184">
        <f t="shared" si="74"/>
        <v>23</v>
      </c>
      <c r="F139" s="41">
        <v>9</v>
      </c>
      <c r="G139" s="41">
        <v>2</v>
      </c>
      <c r="H139" s="41">
        <v>1</v>
      </c>
      <c r="I139" s="41">
        <v>3</v>
      </c>
      <c r="J139" s="41">
        <v>4</v>
      </c>
      <c r="K139" s="41">
        <v>2</v>
      </c>
      <c r="L139" s="41">
        <v>2</v>
      </c>
      <c r="M139" s="41" t="s">
        <v>50</v>
      </c>
      <c r="N139" s="170">
        <f t="shared" si="78"/>
        <v>20</v>
      </c>
      <c r="O139" s="41">
        <v>1</v>
      </c>
      <c r="P139" s="41">
        <v>19</v>
      </c>
      <c r="Q139" s="184">
        <f t="shared" si="76"/>
        <v>4</v>
      </c>
      <c r="R139" s="41">
        <v>4</v>
      </c>
      <c r="S139" s="184">
        <f t="shared" si="77"/>
        <v>12</v>
      </c>
      <c r="T139" s="41">
        <v>12</v>
      </c>
      <c r="U139" s="332" t="s">
        <v>50</v>
      </c>
      <c r="EB139" s="4"/>
      <c r="EC139" s="4"/>
    </row>
    <row r="140" spans="1:133" ht="54" customHeight="1">
      <c r="A140" s="218" t="s">
        <v>120</v>
      </c>
      <c r="B140" s="262">
        <f t="shared" si="72"/>
        <v>45</v>
      </c>
      <c r="C140" s="341">
        <v>3</v>
      </c>
      <c r="D140" s="152">
        <f t="shared" si="73"/>
        <v>42</v>
      </c>
      <c r="E140" s="170">
        <f t="shared" si="74"/>
        <v>16</v>
      </c>
      <c r="F140" s="41">
        <v>6</v>
      </c>
      <c r="G140" s="41"/>
      <c r="H140" s="41"/>
      <c r="I140" s="41">
        <v>6</v>
      </c>
      <c r="J140" s="41"/>
      <c r="K140" s="41"/>
      <c r="L140" s="41">
        <v>1</v>
      </c>
      <c r="M140" s="41">
        <v>3</v>
      </c>
      <c r="N140" s="170">
        <f t="shared" si="78"/>
        <v>4</v>
      </c>
      <c r="O140" s="41">
        <v>4</v>
      </c>
      <c r="P140" s="41"/>
      <c r="Q140" s="170">
        <f t="shared" si="76"/>
        <v>15</v>
      </c>
      <c r="R140" s="41">
        <v>15</v>
      </c>
      <c r="S140" s="170">
        <f t="shared" si="77"/>
        <v>7</v>
      </c>
      <c r="T140" s="41">
        <v>7</v>
      </c>
      <c r="U140" s="296"/>
      <c r="EB140" s="4"/>
      <c r="EC140" s="4"/>
    </row>
    <row r="141" spans="1:133" ht="56.25">
      <c r="A141" s="218" t="s">
        <v>614</v>
      </c>
      <c r="B141" s="757">
        <f t="shared" si="72"/>
        <v>0</v>
      </c>
      <c r="C141" s="341"/>
      <c r="D141" s="152"/>
      <c r="E141" s="170">
        <f t="shared" si="74"/>
        <v>0</v>
      </c>
      <c r="F141" s="41"/>
      <c r="G141" s="41"/>
      <c r="H141" s="41"/>
      <c r="I141" s="41"/>
      <c r="J141" s="41"/>
      <c r="K141" s="41"/>
      <c r="L141" s="41"/>
      <c r="M141" s="41"/>
      <c r="N141" s="169">
        <f t="shared" si="78"/>
        <v>0</v>
      </c>
      <c r="O141" s="41"/>
      <c r="P141" s="41"/>
      <c r="Q141" s="170">
        <f t="shared" si="76"/>
        <v>0</v>
      </c>
      <c r="R141" s="41"/>
      <c r="S141" s="170">
        <f t="shared" si="77"/>
        <v>0</v>
      </c>
      <c r="T141" s="41"/>
      <c r="U141" s="296"/>
      <c r="EB141" s="4"/>
      <c r="EC141" s="4"/>
    </row>
    <row r="142" spans="1:133" ht="56.25">
      <c r="A142" s="209" t="s">
        <v>121</v>
      </c>
      <c r="B142" s="757">
        <f t="shared" si="72"/>
        <v>0</v>
      </c>
      <c r="C142" s="341"/>
      <c r="D142" s="152"/>
      <c r="E142" s="168">
        <f t="shared" si="74"/>
        <v>0</v>
      </c>
      <c r="F142" s="42"/>
      <c r="G142" s="42"/>
      <c r="H142" s="42"/>
      <c r="I142" s="42"/>
      <c r="J142" s="42"/>
      <c r="K142" s="42"/>
      <c r="L142" s="42"/>
      <c r="M142" s="42"/>
      <c r="N142" s="170">
        <f t="shared" si="78"/>
        <v>0</v>
      </c>
      <c r="O142" s="42"/>
      <c r="P142" s="42"/>
      <c r="Q142" s="168">
        <f t="shared" si="76"/>
        <v>0</v>
      </c>
      <c r="R142" s="42"/>
      <c r="S142" s="168">
        <f t="shared" si="77"/>
        <v>0</v>
      </c>
      <c r="T142" s="42"/>
      <c r="U142" s="293"/>
      <c r="EB142" s="4"/>
      <c r="EC142" s="4"/>
    </row>
    <row r="143" spans="1:133" ht="56.25">
      <c r="A143" s="207" t="s">
        <v>122</v>
      </c>
      <c r="B143" s="264">
        <f t="shared" si="72"/>
        <v>7</v>
      </c>
      <c r="C143" s="270"/>
      <c r="D143" s="142">
        <f t="shared" si="73"/>
        <v>7</v>
      </c>
      <c r="E143" s="174">
        <f t="shared" si="74"/>
        <v>2</v>
      </c>
      <c r="F143" s="47"/>
      <c r="G143" s="47"/>
      <c r="H143" s="47">
        <v>2</v>
      </c>
      <c r="I143" s="47"/>
      <c r="J143" s="47" t="s">
        <v>50</v>
      </c>
      <c r="K143" s="47"/>
      <c r="L143" s="47" t="s">
        <v>50</v>
      </c>
      <c r="M143" s="47"/>
      <c r="N143" s="174">
        <f t="shared" si="78"/>
        <v>0</v>
      </c>
      <c r="O143" s="47"/>
      <c r="P143" s="47"/>
      <c r="Q143" s="174">
        <f t="shared" si="76"/>
        <v>2</v>
      </c>
      <c r="R143" s="47">
        <v>2</v>
      </c>
      <c r="S143" s="174">
        <f t="shared" si="77"/>
        <v>3</v>
      </c>
      <c r="T143" s="47">
        <v>3</v>
      </c>
      <c r="U143" s="305" t="s">
        <v>50</v>
      </c>
      <c r="EB143" s="4"/>
      <c r="EC143" s="4"/>
    </row>
    <row r="144" spans="1:133" ht="112.5">
      <c r="A144" s="228" t="s">
        <v>440</v>
      </c>
      <c r="B144" s="758">
        <f>D144+U144</f>
        <v>0</v>
      </c>
      <c r="C144" s="260"/>
      <c r="D144" s="755">
        <f t="shared" si="73"/>
        <v>0</v>
      </c>
      <c r="E144" s="167">
        <f t="shared" si="74"/>
        <v>0</v>
      </c>
      <c r="F144" s="48"/>
      <c r="G144" s="48"/>
      <c r="H144" s="48"/>
      <c r="I144" s="48"/>
      <c r="J144" s="48"/>
      <c r="K144" s="48"/>
      <c r="L144" s="48"/>
      <c r="M144" s="48"/>
      <c r="N144" s="167">
        <f t="shared" si="78"/>
        <v>0</v>
      </c>
      <c r="O144" s="48"/>
      <c r="P144" s="48"/>
      <c r="Q144" s="167">
        <f t="shared" si="76"/>
        <v>0</v>
      </c>
      <c r="R144" s="48"/>
      <c r="S144" s="167">
        <f t="shared" si="77"/>
        <v>0</v>
      </c>
      <c r="T144" s="48"/>
      <c r="U144" s="311"/>
      <c r="EB144" s="4"/>
      <c r="EC144" s="4"/>
    </row>
    <row r="145" spans="1:133" ht="42" customHeight="1">
      <c r="A145" s="217" t="s">
        <v>54</v>
      </c>
      <c r="B145" s="262">
        <f t="shared" ref="B145:B150" si="81">D145</f>
        <v>117</v>
      </c>
      <c r="C145" s="262"/>
      <c r="D145" s="152">
        <f t="shared" si="73"/>
        <v>117</v>
      </c>
      <c r="E145" s="169">
        <f t="shared" si="74"/>
        <v>100</v>
      </c>
      <c r="F145" s="86"/>
      <c r="G145" s="86"/>
      <c r="H145" s="86">
        <v>3</v>
      </c>
      <c r="I145" s="86"/>
      <c r="J145" s="86">
        <v>2</v>
      </c>
      <c r="K145" s="86"/>
      <c r="L145" s="86">
        <f>SUM(L146:L147)</f>
        <v>95</v>
      </c>
      <c r="M145" s="86"/>
      <c r="N145" s="169">
        <f t="shared" si="78"/>
        <v>0</v>
      </c>
      <c r="O145" s="86"/>
      <c r="P145" s="86"/>
      <c r="Q145" s="169">
        <f t="shared" si="76"/>
        <v>0</v>
      </c>
      <c r="R145" s="86"/>
      <c r="S145" s="169">
        <f t="shared" si="77"/>
        <v>17</v>
      </c>
      <c r="T145" s="86">
        <v>17</v>
      </c>
      <c r="U145" s="301"/>
      <c r="EB145" s="4"/>
      <c r="EC145" s="4"/>
    </row>
    <row r="146" spans="1:133">
      <c r="A146" s="218" t="s">
        <v>58</v>
      </c>
      <c r="B146" s="262">
        <f t="shared" si="81"/>
        <v>115</v>
      </c>
      <c r="C146" s="263"/>
      <c r="D146" s="152">
        <f t="shared" si="73"/>
        <v>115</v>
      </c>
      <c r="E146" s="170">
        <f t="shared" si="74"/>
        <v>98</v>
      </c>
      <c r="F146" s="41"/>
      <c r="G146" s="41"/>
      <c r="H146" s="41">
        <v>3</v>
      </c>
      <c r="I146" s="41"/>
      <c r="J146" s="41"/>
      <c r="K146" s="41"/>
      <c r="L146" s="41">
        <v>95</v>
      </c>
      <c r="M146" s="41"/>
      <c r="N146" s="170">
        <f t="shared" si="78"/>
        <v>0</v>
      </c>
      <c r="O146" s="41"/>
      <c r="P146" s="41"/>
      <c r="Q146" s="170">
        <f t="shared" si="76"/>
        <v>0</v>
      </c>
      <c r="R146" s="41"/>
      <c r="S146" s="170">
        <f t="shared" si="77"/>
        <v>17</v>
      </c>
      <c r="T146" s="41">
        <v>17</v>
      </c>
      <c r="U146" s="296"/>
      <c r="EB146" s="4"/>
      <c r="EC146" s="4"/>
    </row>
    <row r="147" spans="1:133">
      <c r="A147" s="219" t="s">
        <v>512</v>
      </c>
      <c r="B147" s="264">
        <f t="shared" si="81"/>
        <v>2</v>
      </c>
      <c r="C147" s="260"/>
      <c r="D147" s="142">
        <f t="shared" si="73"/>
        <v>2</v>
      </c>
      <c r="E147" s="174">
        <f t="shared" si="74"/>
        <v>2</v>
      </c>
      <c r="F147" s="45"/>
      <c r="G147" s="45"/>
      <c r="H147" s="45"/>
      <c r="I147" s="45"/>
      <c r="J147" s="45">
        <v>2</v>
      </c>
      <c r="K147" s="45"/>
      <c r="L147" s="45"/>
      <c r="M147" s="45"/>
      <c r="N147" s="174">
        <f t="shared" si="78"/>
        <v>0</v>
      </c>
      <c r="O147" s="45"/>
      <c r="P147" s="45"/>
      <c r="Q147" s="174">
        <f t="shared" si="76"/>
        <v>0</v>
      </c>
      <c r="R147" s="45"/>
      <c r="S147" s="174">
        <f t="shared" si="77"/>
        <v>0</v>
      </c>
      <c r="T147" s="45"/>
      <c r="U147" s="314"/>
      <c r="EB147" s="4"/>
      <c r="EC147" s="4"/>
    </row>
    <row r="148" spans="1:133" ht="54.75" customHeight="1">
      <c r="A148" s="213" t="s">
        <v>441</v>
      </c>
      <c r="B148" s="262">
        <f t="shared" si="81"/>
        <v>117</v>
      </c>
      <c r="C148" s="262"/>
      <c r="D148" s="152">
        <f t="shared" si="73"/>
        <v>117</v>
      </c>
      <c r="E148" s="169">
        <f t="shared" si="74"/>
        <v>100</v>
      </c>
      <c r="F148" s="84"/>
      <c r="G148" s="84"/>
      <c r="H148" s="84">
        <v>3</v>
      </c>
      <c r="I148" s="84"/>
      <c r="J148" s="84">
        <v>2</v>
      </c>
      <c r="K148" s="84"/>
      <c r="L148" s="84">
        <f>SUM(L149:L150)</f>
        <v>95</v>
      </c>
      <c r="M148" s="84"/>
      <c r="N148" s="169">
        <f t="shared" si="78"/>
        <v>0</v>
      </c>
      <c r="O148" s="84"/>
      <c r="P148" s="84"/>
      <c r="Q148" s="169">
        <f t="shared" si="76"/>
        <v>0</v>
      </c>
      <c r="R148" s="84"/>
      <c r="S148" s="169">
        <f t="shared" si="77"/>
        <v>17</v>
      </c>
      <c r="T148" s="84">
        <v>17</v>
      </c>
      <c r="U148" s="295"/>
      <c r="EB148" s="4"/>
      <c r="EC148" s="4"/>
    </row>
    <row r="149" spans="1:133">
      <c r="A149" s="218" t="s">
        <v>58</v>
      </c>
      <c r="B149" s="262">
        <f t="shared" si="81"/>
        <v>115</v>
      </c>
      <c r="C149" s="263"/>
      <c r="D149" s="152">
        <f t="shared" si="73"/>
        <v>115</v>
      </c>
      <c r="E149" s="170">
        <f t="shared" si="74"/>
        <v>98</v>
      </c>
      <c r="F149" s="41"/>
      <c r="G149" s="41"/>
      <c r="H149" s="41">
        <v>3</v>
      </c>
      <c r="I149" s="41"/>
      <c r="J149" s="41"/>
      <c r="K149" s="41"/>
      <c r="L149" s="41">
        <v>95</v>
      </c>
      <c r="M149" s="41"/>
      <c r="N149" s="170">
        <f t="shared" si="78"/>
        <v>0</v>
      </c>
      <c r="O149" s="41"/>
      <c r="P149" s="41"/>
      <c r="Q149" s="170">
        <f t="shared" si="76"/>
        <v>0</v>
      </c>
      <c r="R149" s="41"/>
      <c r="S149" s="170">
        <f t="shared" si="77"/>
        <v>17</v>
      </c>
      <c r="T149" s="41">
        <v>17</v>
      </c>
      <c r="U149" s="296"/>
      <c r="EB149" s="4"/>
      <c r="EC149" s="4"/>
    </row>
    <row r="150" spans="1:133" ht="20.25" customHeight="1" thickBot="1">
      <c r="A150" s="334" t="s">
        <v>512</v>
      </c>
      <c r="B150" s="335">
        <f t="shared" si="81"/>
        <v>2</v>
      </c>
      <c r="C150" s="335"/>
      <c r="D150" s="336">
        <f t="shared" si="73"/>
        <v>2</v>
      </c>
      <c r="E150" s="337">
        <f t="shared" si="74"/>
        <v>2</v>
      </c>
      <c r="F150" s="338"/>
      <c r="G150" s="338"/>
      <c r="H150" s="338"/>
      <c r="I150" s="338"/>
      <c r="J150" s="338">
        <v>2</v>
      </c>
      <c r="K150" s="338"/>
      <c r="L150" s="338"/>
      <c r="M150" s="338"/>
      <c r="N150" s="337">
        <f t="shared" si="78"/>
        <v>0</v>
      </c>
      <c r="O150" s="338"/>
      <c r="P150" s="338"/>
      <c r="Q150" s="337">
        <f t="shared" si="76"/>
        <v>0</v>
      </c>
      <c r="R150" s="338"/>
      <c r="S150" s="337">
        <f t="shared" si="77"/>
        <v>0</v>
      </c>
      <c r="T150" s="338"/>
      <c r="U150" s="339"/>
      <c r="EB150" s="4"/>
      <c r="EC150" s="4"/>
    </row>
    <row r="151" spans="1:133">
      <c r="A151" s="208" t="s">
        <v>635</v>
      </c>
      <c r="B151" s="261"/>
      <c r="C151" s="261"/>
      <c r="D151" s="143"/>
      <c r="E151" s="168"/>
      <c r="F151" s="49"/>
      <c r="G151" s="49"/>
      <c r="H151" s="49"/>
      <c r="I151" s="49"/>
      <c r="J151" s="49"/>
      <c r="K151" s="49"/>
      <c r="L151" s="49"/>
      <c r="M151" s="49"/>
      <c r="N151" s="168"/>
      <c r="O151" s="49"/>
      <c r="P151" s="49"/>
      <c r="Q151" s="168"/>
      <c r="R151" s="49"/>
      <c r="S151" s="168"/>
      <c r="T151" s="49"/>
      <c r="U151" s="136"/>
      <c r="EB151" s="4"/>
      <c r="EC151" s="4"/>
    </row>
    <row r="152" spans="1:133" ht="150">
      <c r="A152" s="207" t="s">
        <v>55</v>
      </c>
      <c r="B152" s="260">
        <f>C152+D152</f>
        <v>202</v>
      </c>
      <c r="C152" s="270">
        <v>9</v>
      </c>
      <c r="D152" s="142">
        <f>E152+N152+S152+Q152</f>
        <v>193</v>
      </c>
      <c r="E152" s="167">
        <f>SUM(F152:M152)</f>
        <v>116</v>
      </c>
      <c r="F152" s="47">
        <v>21</v>
      </c>
      <c r="G152" s="47">
        <v>10</v>
      </c>
      <c r="H152" s="47">
        <v>15</v>
      </c>
      <c r="I152" s="47">
        <v>32</v>
      </c>
      <c r="J152" s="47">
        <v>12</v>
      </c>
      <c r="K152" s="47">
        <v>14</v>
      </c>
      <c r="L152" s="47">
        <v>10</v>
      </c>
      <c r="M152" s="47">
        <v>2</v>
      </c>
      <c r="N152" s="167">
        <f>SUM(O152:P152)</f>
        <v>47</v>
      </c>
      <c r="O152" s="47">
        <v>39</v>
      </c>
      <c r="P152" s="47">
        <v>8</v>
      </c>
      <c r="Q152" s="167">
        <f>SUM(R152:R152)</f>
        <v>14</v>
      </c>
      <c r="R152" s="47">
        <v>14</v>
      </c>
      <c r="S152" s="167">
        <f>SUM(T152:T152)</f>
        <v>16</v>
      </c>
      <c r="T152" s="47">
        <v>16</v>
      </c>
      <c r="U152" s="305"/>
      <c r="EB152" s="4"/>
      <c r="EC152" s="4"/>
    </row>
    <row r="153" spans="1:133" ht="112.5">
      <c r="A153" s="228" t="s">
        <v>61</v>
      </c>
      <c r="B153" s="260">
        <f>C153+D153</f>
        <v>178</v>
      </c>
      <c r="C153" s="511">
        <v>32</v>
      </c>
      <c r="D153" s="343">
        <f>E153+N153+S153+Q153</f>
        <v>146</v>
      </c>
      <c r="E153" s="345">
        <f>SUM(F153:M153)</f>
        <v>102</v>
      </c>
      <c r="F153" s="48">
        <v>14</v>
      </c>
      <c r="G153" s="48">
        <v>27</v>
      </c>
      <c r="H153" s="48">
        <v>2</v>
      </c>
      <c r="I153" s="48">
        <v>34</v>
      </c>
      <c r="J153" s="344">
        <v>3</v>
      </c>
      <c r="K153" s="344">
        <v>5</v>
      </c>
      <c r="L153" s="48">
        <v>13</v>
      </c>
      <c r="M153" s="48">
        <v>4</v>
      </c>
      <c r="N153" s="173">
        <f>SUM(O153:P153)</f>
        <v>30</v>
      </c>
      <c r="O153" s="48">
        <v>19</v>
      </c>
      <c r="P153" s="48">
        <v>11</v>
      </c>
      <c r="Q153" s="173">
        <f>SUM(R153:R153)</f>
        <v>5</v>
      </c>
      <c r="R153" s="48">
        <v>5</v>
      </c>
      <c r="S153" s="173">
        <f>SUM(T153:T153)</f>
        <v>9</v>
      </c>
      <c r="T153" s="48">
        <v>9</v>
      </c>
      <c r="U153" s="306"/>
      <c r="EB153" s="4"/>
      <c r="EC153" s="4"/>
    </row>
    <row r="154" spans="1:133" ht="56.25">
      <c r="A154" s="217" t="s">
        <v>62</v>
      </c>
      <c r="B154" s="260">
        <f>C154+D154</f>
        <v>6</v>
      </c>
      <c r="C154" s="327">
        <v>4</v>
      </c>
      <c r="D154" s="145">
        <f>E154+N154+S154+Q154</f>
        <v>2</v>
      </c>
      <c r="E154" s="173">
        <f>SUM(F154:M154)</f>
        <v>1</v>
      </c>
      <c r="F154" s="49"/>
      <c r="G154" s="49">
        <v>1</v>
      </c>
      <c r="H154" s="49"/>
      <c r="I154" s="49"/>
      <c r="J154" s="49"/>
      <c r="K154" s="49"/>
      <c r="L154" s="49"/>
      <c r="M154" s="49"/>
      <c r="N154" s="167">
        <f>SUM(O154:P154)</f>
        <v>1</v>
      </c>
      <c r="O154" s="49">
        <v>1</v>
      </c>
      <c r="P154" s="49"/>
      <c r="Q154" s="173">
        <f>SUM(R154:R154)</f>
        <v>0</v>
      </c>
      <c r="R154" s="49"/>
      <c r="S154" s="173">
        <f>SUM(T154:T154)</f>
        <v>0</v>
      </c>
      <c r="T154" s="49"/>
      <c r="U154" s="315"/>
      <c r="EB154" s="4"/>
      <c r="EC154" s="4"/>
    </row>
    <row r="155" spans="1:133" ht="38.25" thickBot="1">
      <c r="A155" s="448" t="s">
        <v>878</v>
      </c>
      <c r="B155" s="510">
        <v>4.1900000000000004</v>
      </c>
      <c r="C155" s="510">
        <v>4.33</v>
      </c>
      <c r="D155" s="759">
        <f>((E155+N155+S155+Q155)/4)</f>
        <v>4.2184374999999994</v>
      </c>
      <c r="E155" s="452">
        <f>AVERAGE(F155:M155)</f>
        <v>4.3637499999999996</v>
      </c>
      <c r="F155" s="453">
        <v>4.32</v>
      </c>
      <c r="G155" s="453">
        <v>4.0599999999999996</v>
      </c>
      <c r="H155" s="453">
        <v>4.8</v>
      </c>
      <c r="I155" s="453">
        <v>4.2699999999999996</v>
      </c>
      <c r="J155" s="453">
        <v>4.22</v>
      </c>
      <c r="K155" s="453">
        <v>4.29</v>
      </c>
      <c r="L155" s="453">
        <v>4.26</v>
      </c>
      <c r="M155" s="453">
        <v>4.6900000000000004</v>
      </c>
      <c r="N155" s="452">
        <f>AVERAGE(O155:P155)</f>
        <v>4.04</v>
      </c>
      <c r="O155" s="453">
        <v>3.96</v>
      </c>
      <c r="P155" s="453">
        <v>4.12</v>
      </c>
      <c r="Q155" s="452">
        <f>AVERAGE(R155:R155)</f>
        <v>4.38</v>
      </c>
      <c r="R155" s="453">
        <v>4.38</v>
      </c>
      <c r="S155" s="452">
        <f>AVERAGE(T155:T155)</f>
        <v>4.09</v>
      </c>
      <c r="T155" s="453">
        <v>4.09</v>
      </c>
      <c r="U155" s="454"/>
      <c r="EB155" s="4"/>
      <c r="EC155" s="4"/>
    </row>
    <row r="156" spans="1:133">
      <c r="A156" s="208" t="s">
        <v>642</v>
      </c>
      <c r="B156" s="278"/>
      <c r="C156" s="278"/>
      <c r="D156" s="155"/>
      <c r="E156" s="175"/>
      <c r="F156" s="34"/>
      <c r="G156" s="34"/>
      <c r="H156" s="34"/>
      <c r="I156" s="34"/>
      <c r="J156" s="34"/>
      <c r="K156" s="34"/>
      <c r="L156" s="34"/>
      <c r="M156" s="34"/>
      <c r="N156" s="175"/>
      <c r="O156" s="34"/>
      <c r="P156" s="34"/>
      <c r="Q156" s="175"/>
      <c r="R156" s="34"/>
      <c r="S156" s="175"/>
      <c r="T156" s="34"/>
      <c r="U156" s="319"/>
      <c r="EB156" s="4"/>
      <c r="EC156" s="4"/>
    </row>
    <row r="157" spans="1:133" ht="54.75" customHeight="1">
      <c r="A157" s="207" t="s">
        <v>538</v>
      </c>
      <c r="B157" s="260">
        <f>C157+D157</f>
        <v>96</v>
      </c>
      <c r="C157" s="270">
        <v>16</v>
      </c>
      <c r="D157" s="142">
        <f>E157+N157+S157+Q157</f>
        <v>80</v>
      </c>
      <c r="E157" s="167">
        <f>SUM(F157:M157)</f>
        <v>64</v>
      </c>
      <c r="F157" s="47">
        <v>1</v>
      </c>
      <c r="G157" s="47">
        <v>6</v>
      </c>
      <c r="H157" s="47">
        <v>1</v>
      </c>
      <c r="I157" s="47">
        <v>38</v>
      </c>
      <c r="J157" s="47">
        <v>4</v>
      </c>
      <c r="K157" s="47">
        <v>5</v>
      </c>
      <c r="L157" s="47">
        <v>6</v>
      </c>
      <c r="M157" s="47">
        <v>3</v>
      </c>
      <c r="N157" s="167">
        <f>SUM(O157:P157)</f>
        <v>4</v>
      </c>
      <c r="O157" s="47">
        <v>3</v>
      </c>
      <c r="P157" s="47">
        <v>1</v>
      </c>
      <c r="Q157" s="167">
        <f>SUM(R157:R157)</f>
        <v>2</v>
      </c>
      <c r="R157" s="47">
        <v>2</v>
      </c>
      <c r="S157" s="167">
        <f>SUM(T157:T157)</f>
        <v>10</v>
      </c>
      <c r="T157" s="47">
        <v>10</v>
      </c>
      <c r="U157" s="305" t="s">
        <v>145</v>
      </c>
      <c r="EB157" s="4"/>
      <c r="EC157" s="4"/>
    </row>
    <row r="158" spans="1:133" ht="113.25" customHeight="1" thickBot="1">
      <c r="A158" s="455" t="s">
        <v>522</v>
      </c>
      <c r="B158" s="760">
        <f>C158+D158</f>
        <v>0</v>
      </c>
      <c r="C158" s="443"/>
      <c r="D158" s="760">
        <f>E158+N158+S158+Q158</f>
        <v>0</v>
      </c>
      <c r="E158" s="445">
        <f>SUM(F158:M158)</f>
        <v>0</v>
      </c>
      <c r="F158" s="446"/>
      <c r="G158" s="446"/>
      <c r="H158" s="446"/>
      <c r="I158" s="446"/>
      <c r="J158" s="446"/>
      <c r="K158" s="446"/>
      <c r="L158" s="446"/>
      <c r="M158" s="446"/>
      <c r="N158" s="445">
        <f>SUM(O158:P158)</f>
        <v>0</v>
      </c>
      <c r="O158" s="446"/>
      <c r="P158" s="446"/>
      <c r="Q158" s="445">
        <f>SUM(R158:R158)</f>
        <v>0</v>
      </c>
      <c r="R158" s="446" t="s">
        <v>50</v>
      </c>
      <c r="S158" s="445">
        <f>SUM(T158:T158)</f>
        <v>0</v>
      </c>
      <c r="T158" s="446"/>
      <c r="U158" s="456" t="s">
        <v>50</v>
      </c>
      <c r="EB158" s="4"/>
      <c r="EC158" s="4"/>
    </row>
    <row r="159" spans="1:133">
      <c r="A159" s="208" t="s">
        <v>600</v>
      </c>
      <c r="B159" s="261"/>
      <c r="C159" s="261"/>
      <c r="D159" s="143"/>
      <c r="E159" s="168"/>
      <c r="F159" s="49"/>
      <c r="G159" s="49"/>
      <c r="H159" s="49"/>
      <c r="I159" s="49"/>
      <c r="J159" s="49"/>
      <c r="K159" s="49"/>
      <c r="L159" s="49"/>
      <c r="M159" s="49"/>
      <c r="N159" s="168"/>
      <c r="O159" s="49"/>
      <c r="P159" s="49"/>
      <c r="Q159" s="168"/>
      <c r="R159" s="49"/>
      <c r="S159" s="168"/>
      <c r="T159" s="49"/>
      <c r="U159" s="136"/>
      <c r="X159" s="27" t="s">
        <v>50</v>
      </c>
      <c r="EB159" s="4"/>
      <c r="EC159" s="4"/>
    </row>
    <row r="160" spans="1:133" ht="93.75">
      <c r="A160" s="242" t="s">
        <v>56</v>
      </c>
      <c r="B160" s="279">
        <f t="shared" ref="B160:B167" si="82">C160+D160</f>
        <v>5</v>
      </c>
      <c r="C160" s="279"/>
      <c r="D160" s="144">
        <f t="shared" ref="D160:D167" si="83">E160+N160+S160+Q160</f>
        <v>5</v>
      </c>
      <c r="E160" s="168">
        <f t="shared" ref="E160:E167" si="84">SUM(F160:M160)</f>
        <v>4</v>
      </c>
      <c r="F160" s="87">
        <v>1</v>
      </c>
      <c r="G160" s="87"/>
      <c r="H160" s="87">
        <v>1</v>
      </c>
      <c r="I160" s="87"/>
      <c r="J160" s="87"/>
      <c r="K160" s="87">
        <v>2</v>
      </c>
      <c r="L160" s="87"/>
      <c r="M160" s="87"/>
      <c r="N160" s="168">
        <f t="shared" ref="N160:N167" si="85">SUM(O160:P160)</f>
        <v>1</v>
      </c>
      <c r="O160" s="87"/>
      <c r="P160" s="87">
        <f>SUM(P161:P163)</f>
        <v>1</v>
      </c>
      <c r="Q160" s="168">
        <f t="shared" ref="Q160:Q167" si="86">SUM(R160:R160)</f>
        <v>0</v>
      </c>
      <c r="R160" s="87"/>
      <c r="S160" s="168">
        <f t="shared" ref="S160:S167" si="87">SUM(T160:T160)</f>
        <v>0</v>
      </c>
      <c r="T160" s="87"/>
      <c r="U160" s="332"/>
      <c r="EB160" s="4"/>
      <c r="EC160" s="4"/>
    </row>
    <row r="161" spans="1:133" ht="20.100000000000001" customHeight="1">
      <c r="A161" s="214" t="s">
        <v>66</v>
      </c>
      <c r="B161" s="761">
        <f t="shared" si="82"/>
        <v>0</v>
      </c>
      <c r="C161" s="757"/>
      <c r="D161" s="752">
        <f t="shared" si="83"/>
        <v>0</v>
      </c>
      <c r="E161" s="170">
        <f t="shared" si="84"/>
        <v>0</v>
      </c>
      <c r="F161" s="42" t="s">
        <v>50</v>
      </c>
      <c r="G161" s="42"/>
      <c r="H161" s="42"/>
      <c r="I161" s="42"/>
      <c r="J161" s="42"/>
      <c r="K161" s="42"/>
      <c r="L161" s="42"/>
      <c r="M161" s="42"/>
      <c r="N161" s="170">
        <f t="shared" si="85"/>
        <v>0</v>
      </c>
      <c r="O161" s="42"/>
      <c r="P161" s="42"/>
      <c r="Q161" s="170">
        <f t="shared" si="86"/>
        <v>0</v>
      </c>
      <c r="R161" s="42"/>
      <c r="S161" s="170">
        <f t="shared" si="87"/>
        <v>0</v>
      </c>
      <c r="T161" s="42"/>
      <c r="U161" s="293"/>
      <c r="EB161" s="4"/>
      <c r="EC161" s="4"/>
    </row>
    <row r="162" spans="1:133" ht="20.100000000000001" customHeight="1">
      <c r="A162" s="237" t="s">
        <v>67</v>
      </c>
      <c r="B162" s="761">
        <f t="shared" si="82"/>
        <v>0</v>
      </c>
      <c r="C162" s="752"/>
      <c r="D162" s="752">
        <f t="shared" si="83"/>
        <v>0</v>
      </c>
      <c r="E162" s="170">
        <f t="shared" si="84"/>
        <v>0</v>
      </c>
      <c r="F162" s="41"/>
      <c r="G162" s="41"/>
      <c r="H162" s="41"/>
      <c r="I162" s="41"/>
      <c r="J162" s="41"/>
      <c r="K162" s="41"/>
      <c r="L162" s="41"/>
      <c r="M162" s="41"/>
      <c r="N162" s="170">
        <f t="shared" si="85"/>
        <v>0</v>
      </c>
      <c r="O162" s="41"/>
      <c r="P162" s="41"/>
      <c r="Q162" s="170">
        <f t="shared" si="86"/>
        <v>0</v>
      </c>
      <c r="R162" s="41"/>
      <c r="S162" s="170">
        <f t="shared" si="87"/>
        <v>0</v>
      </c>
      <c r="T162" s="41" t="s">
        <v>50</v>
      </c>
      <c r="U162" s="296"/>
      <c r="EB162" s="4"/>
      <c r="EC162" s="4"/>
    </row>
    <row r="163" spans="1:133" ht="20.100000000000001" customHeight="1">
      <c r="A163" s="230" t="s">
        <v>68</v>
      </c>
      <c r="B163" s="275">
        <f t="shared" si="82"/>
        <v>5</v>
      </c>
      <c r="C163" s="260"/>
      <c r="D163" s="142">
        <f t="shared" si="83"/>
        <v>5</v>
      </c>
      <c r="E163" s="167">
        <f t="shared" si="84"/>
        <v>4</v>
      </c>
      <c r="F163" s="45">
        <v>1</v>
      </c>
      <c r="G163" s="45"/>
      <c r="H163" s="45">
        <v>1</v>
      </c>
      <c r="I163" s="45"/>
      <c r="J163" s="45"/>
      <c r="K163" s="45">
        <v>2</v>
      </c>
      <c r="L163" s="45"/>
      <c r="M163" s="45"/>
      <c r="N163" s="174">
        <f t="shared" si="85"/>
        <v>1</v>
      </c>
      <c r="O163" s="45"/>
      <c r="P163" s="45">
        <v>1</v>
      </c>
      <c r="Q163" s="167">
        <f t="shared" si="86"/>
        <v>0</v>
      </c>
      <c r="R163" s="45"/>
      <c r="S163" s="167">
        <f t="shared" si="87"/>
        <v>0</v>
      </c>
      <c r="T163" s="45"/>
      <c r="U163" s="314"/>
      <c r="EB163" s="4"/>
      <c r="EC163" s="4"/>
    </row>
    <row r="164" spans="1:133" ht="93.75">
      <c r="A164" s="243" t="s">
        <v>69</v>
      </c>
      <c r="B164" s="279">
        <f t="shared" si="82"/>
        <v>6</v>
      </c>
      <c r="C164" s="279"/>
      <c r="D164" s="144">
        <f t="shared" si="83"/>
        <v>6</v>
      </c>
      <c r="E164" s="168">
        <f t="shared" si="84"/>
        <v>4</v>
      </c>
      <c r="F164" s="86">
        <v>1</v>
      </c>
      <c r="G164" s="86"/>
      <c r="H164" s="86">
        <v>1</v>
      </c>
      <c r="I164" s="86"/>
      <c r="J164" s="86"/>
      <c r="K164" s="86">
        <v>2</v>
      </c>
      <c r="L164" s="86"/>
      <c r="M164" s="86"/>
      <c r="N164" s="168">
        <f t="shared" si="85"/>
        <v>2</v>
      </c>
      <c r="O164" s="86"/>
      <c r="P164" s="86">
        <f>SUM(P165:P167)</f>
        <v>2</v>
      </c>
      <c r="Q164" s="168">
        <f t="shared" si="86"/>
        <v>0</v>
      </c>
      <c r="R164" s="86"/>
      <c r="S164" s="168">
        <f t="shared" si="87"/>
        <v>0</v>
      </c>
      <c r="T164" s="86" t="s">
        <v>50</v>
      </c>
      <c r="U164" s="301"/>
      <c r="EB164" s="4"/>
      <c r="EC164" s="4"/>
    </row>
    <row r="165" spans="1:133" ht="20.100000000000001" customHeight="1">
      <c r="A165" s="237" t="s">
        <v>66</v>
      </c>
      <c r="B165" s="761">
        <f t="shared" si="82"/>
        <v>0</v>
      </c>
      <c r="C165" s="752"/>
      <c r="D165" s="757">
        <f t="shared" si="83"/>
        <v>0</v>
      </c>
      <c r="E165" s="170">
        <f t="shared" si="84"/>
        <v>0</v>
      </c>
      <c r="F165" s="41" t="s">
        <v>50</v>
      </c>
      <c r="G165" s="41"/>
      <c r="H165" s="41"/>
      <c r="I165" s="41"/>
      <c r="J165" s="41"/>
      <c r="K165" s="41"/>
      <c r="L165" s="41"/>
      <c r="M165" s="41"/>
      <c r="N165" s="170">
        <f t="shared" si="85"/>
        <v>0</v>
      </c>
      <c r="O165" s="41"/>
      <c r="P165" s="41"/>
      <c r="Q165" s="170">
        <f t="shared" si="86"/>
        <v>0</v>
      </c>
      <c r="R165" s="41"/>
      <c r="S165" s="170">
        <f t="shared" si="87"/>
        <v>0</v>
      </c>
      <c r="T165" s="41" t="s">
        <v>50</v>
      </c>
      <c r="U165" s="296"/>
      <c r="EB165" s="4"/>
      <c r="EC165" s="4"/>
    </row>
    <row r="166" spans="1:133" ht="20.100000000000001" customHeight="1">
      <c r="A166" s="237" t="s">
        <v>67</v>
      </c>
      <c r="B166" s="761">
        <f t="shared" si="82"/>
        <v>0</v>
      </c>
      <c r="C166" s="752"/>
      <c r="D166" s="757">
        <f t="shared" si="83"/>
        <v>0</v>
      </c>
      <c r="E166" s="170">
        <f t="shared" si="84"/>
        <v>0</v>
      </c>
      <c r="F166" s="41"/>
      <c r="G166" s="41"/>
      <c r="H166" s="41"/>
      <c r="I166" s="41"/>
      <c r="J166" s="41"/>
      <c r="K166" s="41"/>
      <c r="L166" s="41"/>
      <c r="M166" s="41"/>
      <c r="N166" s="170">
        <f t="shared" si="85"/>
        <v>0</v>
      </c>
      <c r="O166" s="41"/>
      <c r="P166" s="41"/>
      <c r="Q166" s="170">
        <f t="shared" si="86"/>
        <v>0</v>
      </c>
      <c r="R166" s="41"/>
      <c r="S166" s="170">
        <f t="shared" si="87"/>
        <v>0</v>
      </c>
      <c r="T166" s="41"/>
      <c r="U166" s="296"/>
      <c r="EB166" s="4"/>
      <c r="EC166" s="4"/>
    </row>
    <row r="167" spans="1:133" ht="20.100000000000001" customHeight="1" thickBot="1">
      <c r="A167" s="340" t="s">
        <v>68</v>
      </c>
      <c r="B167" s="457">
        <f t="shared" si="82"/>
        <v>6</v>
      </c>
      <c r="C167" s="335"/>
      <c r="D167" s="336">
        <f t="shared" si="83"/>
        <v>6</v>
      </c>
      <c r="E167" s="337">
        <f t="shared" si="84"/>
        <v>4</v>
      </c>
      <c r="F167" s="338">
        <v>1</v>
      </c>
      <c r="G167" s="338"/>
      <c r="H167" s="338">
        <v>1</v>
      </c>
      <c r="I167" s="338"/>
      <c r="J167" s="338"/>
      <c r="K167" s="338">
        <v>2</v>
      </c>
      <c r="L167" s="338"/>
      <c r="M167" s="338"/>
      <c r="N167" s="337">
        <f t="shared" si="85"/>
        <v>2</v>
      </c>
      <c r="O167" s="338"/>
      <c r="P167" s="338">
        <v>2</v>
      </c>
      <c r="Q167" s="337">
        <f t="shared" si="86"/>
        <v>0</v>
      </c>
      <c r="R167" s="338"/>
      <c r="S167" s="337">
        <f t="shared" si="87"/>
        <v>0</v>
      </c>
      <c r="T167" s="338"/>
      <c r="U167" s="339"/>
      <c r="EB167" s="4"/>
      <c r="EC167" s="4"/>
    </row>
    <row r="168" spans="1:133">
      <c r="A168" s="241" t="s">
        <v>176</v>
      </c>
      <c r="B168" s="280"/>
      <c r="C168" s="280"/>
      <c r="D168" s="198"/>
      <c r="E168" s="176"/>
      <c r="F168" s="199"/>
      <c r="G168" s="199"/>
      <c r="H168" s="199"/>
      <c r="I168" s="199"/>
      <c r="J168" s="199"/>
      <c r="K168" s="199"/>
      <c r="L168" s="199"/>
      <c r="M168" s="199"/>
      <c r="N168" s="176"/>
      <c r="O168" s="199"/>
      <c r="P168" s="199"/>
      <c r="Q168" s="176"/>
      <c r="R168" s="199"/>
      <c r="S168" s="176"/>
      <c r="T168" s="199"/>
      <c r="U168" s="325"/>
      <c r="EB168" s="4"/>
      <c r="EC168" s="4"/>
    </row>
    <row r="169" spans="1:133" ht="20.25">
      <c r="A169" s="212" t="s">
        <v>70</v>
      </c>
      <c r="B169" s="947">
        <v>1124587128.3800001</v>
      </c>
      <c r="C169" s="281"/>
      <c r="D169" s="514">
        <f t="shared" ref="D169:D178" si="88">E169+N169+S169+Q169</f>
        <v>0</v>
      </c>
      <c r="E169" s="191">
        <f t="shared" ref="E169:E178" si="89">SUM(F169:M169)</f>
        <v>0</v>
      </c>
      <c r="F169" s="190"/>
      <c r="G169" s="192"/>
      <c r="H169" s="192"/>
      <c r="I169" s="192"/>
      <c r="J169" s="190"/>
      <c r="K169" s="192"/>
      <c r="L169" s="192"/>
      <c r="M169" s="192"/>
      <c r="N169" s="191">
        <f t="shared" ref="N169:N178" si="90">SUM(O169:P169)</f>
        <v>0</v>
      </c>
      <c r="O169" s="192"/>
      <c r="P169" s="192"/>
      <c r="Q169" s="191">
        <f t="shared" ref="Q169:Q178" si="91">SUM(R169:R169)</f>
        <v>0</v>
      </c>
      <c r="R169" s="192"/>
      <c r="S169" s="191">
        <f t="shared" ref="S169:S178" si="92">SUM(T169:T169)</f>
        <v>0</v>
      </c>
      <c r="T169" s="192"/>
      <c r="U169" s="1128" t="s">
        <v>77</v>
      </c>
      <c r="EB169" s="4"/>
      <c r="EC169" s="4"/>
    </row>
    <row r="170" spans="1:133" ht="56.25">
      <c r="A170" s="217" t="s">
        <v>539</v>
      </c>
      <c r="B170" s="948">
        <v>44327649.259999998</v>
      </c>
      <c r="C170" s="283"/>
      <c r="D170" s="514">
        <f t="shared" si="88"/>
        <v>0</v>
      </c>
      <c r="E170" s="191">
        <f t="shared" si="89"/>
        <v>0</v>
      </c>
      <c r="F170" s="193"/>
      <c r="G170" s="193"/>
      <c r="H170" s="193"/>
      <c r="I170" s="193"/>
      <c r="J170" s="193"/>
      <c r="K170" s="193"/>
      <c r="L170" s="193"/>
      <c r="M170" s="193"/>
      <c r="N170" s="194">
        <f t="shared" si="90"/>
        <v>0</v>
      </c>
      <c r="O170" s="193"/>
      <c r="P170" s="193"/>
      <c r="Q170" s="191">
        <f t="shared" si="91"/>
        <v>0</v>
      </c>
      <c r="R170" s="193"/>
      <c r="S170" s="191">
        <f t="shared" si="92"/>
        <v>0</v>
      </c>
      <c r="T170" s="193"/>
      <c r="U170" s="1128"/>
      <c r="EB170" s="4"/>
      <c r="EC170" s="4"/>
    </row>
    <row r="171" spans="1:133" ht="57.75" customHeight="1">
      <c r="A171" s="228" t="s">
        <v>540</v>
      </c>
      <c r="B171" s="949">
        <v>989868493.23000002</v>
      </c>
      <c r="C171" s="281"/>
      <c r="D171" s="514">
        <f t="shared" si="88"/>
        <v>0</v>
      </c>
      <c r="E171" s="191">
        <f t="shared" si="89"/>
        <v>0</v>
      </c>
      <c r="F171" s="195"/>
      <c r="G171" s="195"/>
      <c r="H171" s="195"/>
      <c r="I171" s="195"/>
      <c r="J171" s="195"/>
      <c r="K171" s="195"/>
      <c r="L171" s="195"/>
      <c r="M171" s="195"/>
      <c r="N171" s="194">
        <f t="shared" si="90"/>
        <v>0</v>
      </c>
      <c r="O171" s="195"/>
      <c r="P171" s="195"/>
      <c r="Q171" s="191">
        <f t="shared" si="91"/>
        <v>0</v>
      </c>
      <c r="R171" s="195"/>
      <c r="S171" s="191">
        <f t="shared" si="92"/>
        <v>0</v>
      </c>
      <c r="T171" s="195"/>
      <c r="U171" s="1128"/>
      <c r="EB171" s="4"/>
      <c r="EC171" s="4"/>
    </row>
    <row r="172" spans="1:133" ht="36.75" customHeight="1">
      <c r="A172" s="217" t="s">
        <v>541</v>
      </c>
      <c r="B172" s="948"/>
      <c r="C172" s="283"/>
      <c r="D172" s="514">
        <f t="shared" si="88"/>
        <v>0</v>
      </c>
      <c r="E172" s="191">
        <f t="shared" si="89"/>
        <v>0</v>
      </c>
      <c r="F172" s="193"/>
      <c r="G172" s="193"/>
      <c r="H172" s="193"/>
      <c r="I172" s="193"/>
      <c r="J172" s="193"/>
      <c r="K172" s="193"/>
      <c r="L172" s="193"/>
      <c r="M172" s="193"/>
      <c r="N172" s="191">
        <f t="shared" si="90"/>
        <v>0</v>
      </c>
      <c r="O172" s="193"/>
      <c r="P172" s="193"/>
      <c r="Q172" s="191">
        <f t="shared" si="91"/>
        <v>0</v>
      </c>
      <c r="R172" s="193"/>
      <c r="S172" s="191">
        <f t="shared" si="92"/>
        <v>0</v>
      </c>
      <c r="T172" s="193"/>
      <c r="U172" s="1128"/>
      <c r="EB172" s="4"/>
      <c r="EC172" s="4"/>
    </row>
    <row r="173" spans="1:133" ht="56.25">
      <c r="A173" s="228" t="s">
        <v>542</v>
      </c>
      <c r="B173" s="949">
        <v>18300393.210000001</v>
      </c>
      <c r="C173" s="281"/>
      <c r="D173" s="514">
        <f t="shared" si="88"/>
        <v>0</v>
      </c>
      <c r="E173" s="191">
        <f t="shared" si="89"/>
        <v>0</v>
      </c>
      <c r="F173" s="195"/>
      <c r="G173" s="195"/>
      <c r="H173" s="195"/>
      <c r="I173" s="195"/>
      <c r="J173" s="195"/>
      <c r="K173" s="195"/>
      <c r="L173" s="195"/>
      <c r="M173" s="195"/>
      <c r="N173" s="191">
        <f t="shared" si="90"/>
        <v>0</v>
      </c>
      <c r="O173" s="195"/>
      <c r="P173" s="195"/>
      <c r="Q173" s="191">
        <f t="shared" si="91"/>
        <v>0</v>
      </c>
      <c r="R173" s="195"/>
      <c r="S173" s="191">
        <f t="shared" si="92"/>
        <v>0</v>
      </c>
      <c r="T173" s="195"/>
      <c r="U173" s="1128"/>
      <c r="EB173" s="4"/>
      <c r="EC173" s="4"/>
    </row>
    <row r="174" spans="1:133" ht="39" customHeight="1">
      <c r="A174" s="217" t="s">
        <v>543</v>
      </c>
      <c r="B174" s="948">
        <v>3206166.07</v>
      </c>
      <c r="C174" s="282"/>
      <c r="D174" s="514">
        <f t="shared" si="88"/>
        <v>0</v>
      </c>
      <c r="E174" s="191">
        <f t="shared" si="89"/>
        <v>0</v>
      </c>
      <c r="F174" s="193"/>
      <c r="G174" s="193"/>
      <c r="H174" s="193"/>
      <c r="I174" s="193"/>
      <c r="J174" s="193"/>
      <c r="K174" s="193"/>
      <c r="L174" s="193"/>
      <c r="M174" s="193"/>
      <c r="N174" s="194">
        <f t="shared" si="90"/>
        <v>0</v>
      </c>
      <c r="O174" s="193"/>
      <c r="P174" s="193"/>
      <c r="Q174" s="191">
        <f t="shared" si="91"/>
        <v>0</v>
      </c>
      <c r="R174" s="193"/>
      <c r="S174" s="191">
        <f t="shared" si="92"/>
        <v>0</v>
      </c>
      <c r="T174" s="193"/>
      <c r="U174" s="1128"/>
      <c r="EB174" s="4"/>
      <c r="EC174" s="4"/>
    </row>
    <row r="175" spans="1:133" ht="36" customHeight="1">
      <c r="A175" s="240" t="s">
        <v>148</v>
      </c>
      <c r="B175" s="950">
        <f>3199100.25+15714587.34+1077339.86</f>
        <v>19991027.449999999</v>
      </c>
      <c r="C175" s="284"/>
      <c r="D175" s="515">
        <f t="shared" si="88"/>
        <v>0</v>
      </c>
      <c r="E175" s="188">
        <f t="shared" si="89"/>
        <v>0</v>
      </c>
      <c r="F175" s="196"/>
      <c r="G175" s="196"/>
      <c r="H175" s="196"/>
      <c r="I175" s="197"/>
      <c r="J175" s="196"/>
      <c r="K175" s="196"/>
      <c r="L175" s="196"/>
      <c r="M175" s="196"/>
      <c r="N175" s="194">
        <f t="shared" si="90"/>
        <v>0</v>
      </c>
      <c r="O175" s="196"/>
      <c r="P175" s="196"/>
      <c r="Q175" s="188">
        <f t="shared" si="91"/>
        <v>0</v>
      </c>
      <c r="R175" s="196"/>
      <c r="S175" s="188">
        <f t="shared" si="92"/>
        <v>0</v>
      </c>
      <c r="T175" s="196"/>
      <c r="U175" s="1128"/>
      <c r="EB175" s="4"/>
      <c r="EC175" s="4"/>
    </row>
    <row r="176" spans="1:133" ht="56.25">
      <c r="A176" s="228" t="s">
        <v>505</v>
      </c>
      <c r="B176" s="949">
        <f>16892791.01+20841560.86+11734480.35+1533601.9+23881816.26+7470689.59</f>
        <v>82354939.970000014</v>
      </c>
      <c r="C176" s="283"/>
      <c r="D176" s="516">
        <f t="shared" si="88"/>
        <v>0</v>
      </c>
      <c r="E176" s="194">
        <f t="shared" si="89"/>
        <v>0</v>
      </c>
      <c r="F176" s="195"/>
      <c r="G176" s="195"/>
      <c r="H176" s="195"/>
      <c r="I176" s="195"/>
      <c r="J176" s="195"/>
      <c r="K176" s="195"/>
      <c r="L176" s="195"/>
      <c r="M176" s="195"/>
      <c r="N176" s="191">
        <f t="shared" si="90"/>
        <v>0</v>
      </c>
      <c r="O176" s="195"/>
      <c r="P176" s="195"/>
      <c r="Q176" s="194">
        <f t="shared" si="91"/>
        <v>0</v>
      </c>
      <c r="R176" s="195"/>
      <c r="S176" s="194">
        <f t="shared" si="92"/>
        <v>0</v>
      </c>
      <c r="T176" s="195"/>
      <c r="U176" s="1128"/>
      <c r="EB176" s="4"/>
      <c r="EC176" s="4"/>
    </row>
    <row r="177" spans="1:133" ht="20.25">
      <c r="A177" s="244" t="s">
        <v>506</v>
      </c>
      <c r="B177" s="949">
        <f>B169-B171-B178</f>
        <v>10247031.6300001</v>
      </c>
      <c r="C177" s="283"/>
      <c r="D177" s="516">
        <f t="shared" si="88"/>
        <v>0</v>
      </c>
      <c r="E177" s="191">
        <f t="shared" si="89"/>
        <v>0</v>
      </c>
      <c r="F177" s="195"/>
      <c r="G177" s="195"/>
      <c r="H177" s="195"/>
      <c r="I177" s="195"/>
      <c r="J177" s="195"/>
      <c r="K177" s="195"/>
      <c r="L177" s="195"/>
      <c r="M177" s="195"/>
      <c r="N177" s="191">
        <f t="shared" si="90"/>
        <v>0</v>
      </c>
      <c r="O177" s="195"/>
      <c r="P177" s="195"/>
      <c r="Q177" s="191">
        <f t="shared" si="91"/>
        <v>0</v>
      </c>
      <c r="R177" s="195"/>
      <c r="S177" s="191">
        <f t="shared" si="92"/>
        <v>0</v>
      </c>
      <c r="T177" s="195"/>
      <c r="U177" s="1128"/>
      <c r="EB177" s="4"/>
      <c r="EC177" s="4"/>
    </row>
    <row r="178" spans="1:133" thickBot="1">
      <c r="A178" s="458" t="s">
        <v>507</v>
      </c>
      <c r="B178" s="951">
        <v>124471603.52</v>
      </c>
      <c r="C178" s="459"/>
      <c r="D178" s="517">
        <f t="shared" si="88"/>
        <v>0</v>
      </c>
      <c r="E178" s="460">
        <f t="shared" si="89"/>
        <v>0</v>
      </c>
      <c r="F178" s="461"/>
      <c r="G178" s="461"/>
      <c r="H178" s="461"/>
      <c r="I178" s="461"/>
      <c r="J178" s="461"/>
      <c r="K178" s="461"/>
      <c r="L178" s="461"/>
      <c r="M178" s="461"/>
      <c r="N178" s="460">
        <f t="shared" si="90"/>
        <v>0</v>
      </c>
      <c r="O178" s="461"/>
      <c r="P178" s="461"/>
      <c r="Q178" s="460">
        <f t="shared" si="91"/>
        <v>0</v>
      </c>
      <c r="R178" s="461"/>
      <c r="S178" s="460">
        <f t="shared" si="92"/>
        <v>0</v>
      </c>
      <c r="T178" s="461"/>
      <c r="U178" s="1129"/>
      <c r="EB178" s="4"/>
      <c r="EC178" s="4"/>
    </row>
    <row r="179" spans="1:133">
      <c r="A179" s="208" t="s">
        <v>179</v>
      </c>
      <c r="B179" s="278"/>
      <c r="C179" s="278"/>
      <c r="D179" s="155"/>
      <c r="E179" s="175"/>
      <c r="F179" s="34"/>
      <c r="G179" s="34"/>
      <c r="H179" s="34"/>
      <c r="I179" s="34"/>
      <c r="J179" s="34"/>
      <c r="K179" s="34"/>
      <c r="L179" s="34"/>
      <c r="M179" s="34"/>
      <c r="N179" s="175"/>
      <c r="O179" s="34"/>
      <c r="P179" s="34"/>
      <c r="Q179" s="175"/>
      <c r="R179" s="34"/>
      <c r="S179" s="175"/>
      <c r="T179" s="34"/>
      <c r="U179" s="319"/>
      <c r="EB179" s="4"/>
      <c r="EC179" s="4"/>
    </row>
    <row r="180" spans="1:133" ht="56.25" customHeight="1" thickBot="1">
      <c r="A180" s="462" t="s">
        <v>681</v>
      </c>
      <c r="B180" s="463">
        <v>5</v>
      </c>
      <c r="C180" s="463"/>
      <c r="D180" s="464"/>
      <c r="E180" s="465">
        <f>AVERAGE(F180:M180)</f>
        <v>4.25</v>
      </c>
      <c r="F180" s="466">
        <v>5</v>
      </c>
      <c r="G180" s="466">
        <v>5</v>
      </c>
      <c r="H180" s="466">
        <v>4</v>
      </c>
      <c r="I180" s="466">
        <v>4</v>
      </c>
      <c r="J180" s="466">
        <v>4</v>
      </c>
      <c r="K180" s="466">
        <v>4</v>
      </c>
      <c r="L180" s="466">
        <v>4</v>
      </c>
      <c r="M180" s="466">
        <v>4</v>
      </c>
      <c r="N180" s="467">
        <f>AVERAGE(O180:P180)</f>
        <v>5</v>
      </c>
      <c r="O180" s="466">
        <v>5</v>
      </c>
      <c r="P180" s="468">
        <v>5</v>
      </c>
      <c r="Q180" s="467">
        <f>AVERAGE(R180:R180)</f>
        <v>5</v>
      </c>
      <c r="R180" s="466">
        <v>5</v>
      </c>
      <c r="S180" s="467">
        <f>AVERAGE(T180:T180)</f>
        <v>4</v>
      </c>
      <c r="T180" s="466">
        <v>4</v>
      </c>
      <c r="U180" s="469"/>
      <c r="EB180" s="4"/>
      <c r="EC180" s="4"/>
    </row>
    <row r="181" spans="1:133" ht="12.75" customHeight="1">
      <c r="A181" s="248"/>
      <c r="B181" s="474"/>
      <c r="C181" s="474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326"/>
    </row>
    <row r="182" spans="1:133">
      <c r="A182" s="246" t="s">
        <v>682</v>
      </c>
      <c r="B182" s="476"/>
      <c r="C182" s="476"/>
      <c r="D182" s="477"/>
      <c r="E182" s="477"/>
      <c r="F182" s="477"/>
      <c r="G182" s="477"/>
      <c r="H182" s="477"/>
      <c r="I182" s="477"/>
      <c r="J182" s="477"/>
      <c r="K182" s="477"/>
      <c r="L182" s="477"/>
      <c r="M182" s="477"/>
      <c r="N182" s="477"/>
      <c r="O182" s="477"/>
      <c r="P182" s="477"/>
      <c r="Q182" s="477"/>
      <c r="R182" s="477"/>
      <c r="S182" s="478"/>
      <c r="T182" s="478"/>
    </row>
    <row r="183" spans="1:133">
      <c r="A183" s="247" t="s">
        <v>683</v>
      </c>
      <c r="B183" s="476"/>
      <c r="C183" s="476"/>
      <c r="D183" s="477"/>
      <c r="E183" s="477"/>
      <c r="F183" s="477"/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77"/>
      <c r="R183" s="477"/>
      <c r="S183" s="478"/>
      <c r="T183" s="478"/>
    </row>
    <row r="184" spans="1:133">
      <c r="A184" s="247" t="s">
        <v>684</v>
      </c>
      <c r="B184" s="476"/>
      <c r="C184" s="476"/>
      <c r="D184" s="477"/>
      <c r="E184" s="477"/>
      <c r="F184" s="477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77"/>
      <c r="R184" s="477"/>
      <c r="S184" s="478"/>
      <c r="T184" s="478"/>
    </row>
    <row r="185" spans="1:133">
      <c r="A185" s="247" t="s">
        <v>685</v>
      </c>
      <c r="B185" s="476"/>
      <c r="C185" s="476"/>
      <c r="D185" s="477"/>
      <c r="E185" s="477"/>
      <c r="F185" s="477"/>
      <c r="G185" s="477"/>
      <c r="H185" s="477"/>
      <c r="I185" s="477"/>
      <c r="J185" s="477"/>
      <c r="K185" s="477"/>
      <c r="L185" s="477"/>
      <c r="M185" s="477"/>
      <c r="N185" s="477"/>
      <c r="O185" s="477"/>
      <c r="P185" s="477"/>
      <c r="Q185" s="477"/>
      <c r="R185" s="477"/>
      <c r="S185" s="478"/>
      <c r="T185" s="478"/>
    </row>
    <row r="186" spans="1:133">
      <c r="A186" s="247" t="s">
        <v>686</v>
      </c>
      <c r="B186" s="476"/>
      <c r="C186" s="476"/>
      <c r="D186" s="477"/>
      <c r="E186" s="477"/>
      <c r="F186" s="477"/>
      <c r="G186" s="477"/>
      <c r="H186" s="477"/>
      <c r="I186" s="477"/>
      <c r="J186" s="477"/>
      <c r="K186" s="477"/>
      <c r="L186" s="477"/>
      <c r="M186" s="477"/>
      <c r="N186" s="477"/>
      <c r="O186" s="477"/>
      <c r="P186" s="477"/>
      <c r="Q186" s="477"/>
      <c r="R186" s="477"/>
      <c r="S186" s="478"/>
      <c r="T186" s="478"/>
    </row>
    <row r="187" spans="1:133" ht="39" customHeight="1">
      <c r="A187" s="1127" t="s">
        <v>687</v>
      </c>
      <c r="B187" s="1127"/>
      <c r="C187" s="1127"/>
      <c r="D187" s="1127"/>
      <c r="E187" s="1127"/>
      <c r="F187" s="1127"/>
      <c r="G187" s="1127"/>
      <c r="H187" s="1127"/>
      <c r="I187" s="1127"/>
      <c r="J187" s="1127"/>
      <c r="K187" s="1127"/>
      <c r="L187" s="1127"/>
      <c r="M187" s="1127"/>
      <c r="N187" s="1127"/>
      <c r="O187" s="1127"/>
      <c r="P187" s="1127"/>
      <c r="Q187" s="1127"/>
      <c r="R187" s="479"/>
      <c r="S187" s="478"/>
      <c r="T187" s="478"/>
    </row>
    <row r="188" spans="1:133">
      <c r="A188" s="247" t="s">
        <v>688</v>
      </c>
      <c r="B188" s="476"/>
      <c r="C188" s="476"/>
      <c r="D188" s="477"/>
      <c r="E188" s="477"/>
      <c r="F188" s="477"/>
      <c r="G188" s="477"/>
      <c r="H188" s="477"/>
      <c r="I188" s="477"/>
      <c r="J188" s="477"/>
      <c r="K188" s="477"/>
      <c r="L188" s="477"/>
      <c r="M188" s="477"/>
      <c r="N188" s="477"/>
      <c r="O188" s="477"/>
      <c r="P188" s="477"/>
      <c r="Q188" s="477"/>
      <c r="R188" s="477"/>
      <c r="S188" s="478"/>
      <c r="T188" s="478"/>
    </row>
    <row r="189" spans="1:133">
      <c r="A189" s="247" t="s">
        <v>689</v>
      </c>
      <c r="B189" s="476"/>
      <c r="C189" s="476"/>
      <c r="D189" s="477"/>
      <c r="E189" s="477"/>
      <c r="F189" s="477"/>
      <c r="G189" s="477"/>
      <c r="H189" s="477"/>
      <c r="I189" s="477"/>
      <c r="J189" s="477"/>
      <c r="K189" s="477"/>
      <c r="L189" s="477"/>
      <c r="M189" s="477"/>
      <c r="N189" s="477"/>
      <c r="O189" s="477"/>
      <c r="P189" s="477"/>
      <c r="Q189" s="477"/>
      <c r="R189" s="477"/>
      <c r="S189" s="478"/>
      <c r="T189" s="478"/>
    </row>
    <row r="190" spans="1:133">
      <c r="A190" s="247" t="s">
        <v>690</v>
      </c>
      <c r="B190" s="476"/>
      <c r="C190" s="476"/>
      <c r="D190" s="477"/>
      <c r="E190" s="477"/>
      <c r="F190" s="477"/>
      <c r="G190" s="477"/>
      <c r="H190" s="477"/>
      <c r="I190" s="477"/>
      <c r="J190" s="477"/>
      <c r="K190" s="477"/>
      <c r="L190" s="477"/>
      <c r="M190" s="477"/>
      <c r="N190" s="477"/>
      <c r="O190" s="477"/>
      <c r="P190" s="477"/>
      <c r="Q190" s="477"/>
      <c r="R190" s="477"/>
      <c r="S190" s="478"/>
      <c r="T190" s="478"/>
    </row>
    <row r="191" spans="1:133">
      <c r="A191" s="248"/>
      <c r="B191" s="474"/>
      <c r="C191" s="474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326"/>
    </row>
    <row r="192" spans="1:133">
      <c r="A192" s="248"/>
      <c r="B192" s="474"/>
      <c r="C192" s="474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326"/>
    </row>
    <row r="193" spans="1:21">
      <c r="A193" s="248"/>
      <c r="B193" s="474"/>
      <c r="C193" s="474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326"/>
    </row>
    <row r="194" spans="1:21">
      <c r="A194" s="248"/>
      <c r="B194" s="474"/>
      <c r="C194" s="474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326"/>
    </row>
    <row r="195" spans="1:21">
      <c r="A195" s="248"/>
      <c r="B195" s="474"/>
      <c r="C195" s="474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326"/>
    </row>
    <row r="196" spans="1:21">
      <c r="S196" s="475"/>
      <c r="T196" s="475"/>
      <c r="U196" s="326"/>
    </row>
    <row r="197" spans="1:21">
      <c r="S197" s="475"/>
      <c r="T197" s="475"/>
      <c r="U197" s="326"/>
    </row>
    <row r="198" spans="1:21">
      <c r="S198" s="475"/>
      <c r="T198" s="475"/>
      <c r="U198" s="326"/>
    </row>
    <row r="199" spans="1:21">
      <c r="S199" s="475"/>
      <c r="T199" s="475"/>
      <c r="U199" s="326"/>
    </row>
    <row r="200" spans="1:21">
      <c r="S200" s="475"/>
      <c r="T200" s="475"/>
      <c r="U200" s="326"/>
    </row>
    <row r="201" spans="1:21">
      <c r="S201" s="475"/>
      <c r="T201" s="475"/>
      <c r="U201" s="326"/>
    </row>
    <row r="202" spans="1:21">
      <c r="S202" s="475"/>
      <c r="T202" s="475"/>
      <c r="U202" s="326"/>
    </row>
    <row r="203" spans="1:21">
      <c r="S203" s="475"/>
      <c r="T203" s="475"/>
      <c r="U203" s="326"/>
    </row>
    <row r="204" spans="1:21">
      <c r="S204" s="475"/>
      <c r="T204" s="475"/>
      <c r="U204" s="326"/>
    </row>
    <row r="205" spans="1:21">
      <c r="A205" s="245"/>
      <c r="B205" s="474"/>
      <c r="C205" s="474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326"/>
    </row>
    <row r="206" spans="1:21">
      <c r="A206" s="245"/>
      <c r="B206" s="474"/>
      <c r="C206" s="474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326"/>
    </row>
    <row r="207" spans="1:21">
      <c r="A207" s="245"/>
      <c r="B207" s="474"/>
      <c r="C207" s="474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326"/>
    </row>
    <row r="208" spans="1:21">
      <c r="A208" s="245"/>
      <c r="B208" s="474"/>
      <c r="C208" s="474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326"/>
    </row>
    <row r="209" spans="1:21">
      <c r="A209" s="245"/>
      <c r="B209" s="474"/>
      <c r="C209" s="474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326"/>
    </row>
    <row r="210" spans="1:21">
      <c r="A210" s="245"/>
      <c r="B210" s="474"/>
      <c r="C210" s="474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326"/>
    </row>
    <row r="211" spans="1:21">
      <c r="A211" s="245"/>
      <c r="B211" s="474"/>
      <c r="C211" s="474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326"/>
    </row>
    <row r="212" spans="1:21">
      <c r="A212" s="245"/>
      <c r="B212" s="474"/>
      <c r="C212" s="474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326"/>
    </row>
    <row r="213" spans="1:21">
      <c r="A213" s="245"/>
      <c r="B213" s="474"/>
      <c r="C213" s="474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326"/>
    </row>
    <row r="214" spans="1:21">
      <c r="A214" s="245"/>
      <c r="B214" s="474"/>
      <c r="C214" s="474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326"/>
    </row>
    <row r="215" spans="1:21">
      <c r="A215" s="245"/>
      <c r="B215" s="474"/>
      <c r="C215" s="474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326"/>
    </row>
    <row r="216" spans="1:21">
      <c r="A216" s="245"/>
      <c r="B216" s="474"/>
      <c r="C216" s="474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326"/>
    </row>
    <row r="217" spans="1:21">
      <c r="A217" s="245"/>
      <c r="B217" s="474"/>
      <c r="C217" s="474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326"/>
    </row>
    <row r="218" spans="1:21">
      <c r="A218" s="245"/>
      <c r="B218" s="474"/>
      <c r="C218" s="474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326"/>
    </row>
    <row r="219" spans="1:21">
      <c r="A219" s="245"/>
      <c r="B219" s="474"/>
      <c r="C219" s="474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326"/>
    </row>
    <row r="220" spans="1:21">
      <c r="A220" s="245"/>
      <c r="B220" s="474"/>
      <c r="C220" s="474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326"/>
    </row>
    <row r="221" spans="1:21">
      <c r="A221" s="245"/>
      <c r="B221" s="474"/>
      <c r="C221" s="474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  <c r="P221" s="475"/>
      <c r="Q221" s="475"/>
      <c r="R221" s="475"/>
      <c r="S221" s="475"/>
      <c r="T221" s="475"/>
      <c r="U221" s="326"/>
    </row>
    <row r="222" spans="1:21">
      <c r="A222" s="245"/>
      <c r="B222" s="474"/>
      <c r="C222" s="474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326"/>
    </row>
    <row r="223" spans="1:21">
      <c r="A223" s="245"/>
      <c r="B223" s="474"/>
      <c r="C223" s="474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326"/>
    </row>
    <row r="224" spans="1:21">
      <c r="A224" s="245"/>
      <c r="B224" s="474"/>
      <c r="C224" s="474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326"/>
    </row>
    <row r="225" spans="1:21">
      <c r="A225" s="245"/>
      <c r="B225" s="474"/>
      <c r="C225" s="474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326"/>
    </row>
    <row r="226" spans="1:21">
      <c r="A226" s="245"/>
      <c r="B226" s="474"/>
      <c r="C226" s="474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326"/>
    </row>
    <row r="227" spans="1:21">
      <c r="A227" s="245"/>
      <c r="B227" s="474"/>
      <c r="C227" s="474"/>
      <c r="D227" s="475"/>
      <c r="E227" s="475"/>
      <c r="F227" s="475"/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326"/>
    </row>
    <row r="228" spans="1:21">
      <c r="A228" s="245"/>
      <c r="B228" s="474"/>
      <c r="C228" s="474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326"/>
    </row>
    <row r="229" spans="1:21">
      <c r="A229" s="245"/>
      <c r="B229" s="474"/>
      <c r="C229" s="474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326"/>
    </row>
    <row r="230" spans="1:21">
      <c r="A230" s="245"/>
      <c r="B230" s="474"/>
      <c r="C230" s="474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326"/>
    </row>
    <row r="231" spans="1:21">
      <c r="A231" s="245"/>
      <c r="B231" s="474"/>
      <c r="C231" s="474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326"/>
    </row>
    <row r="232" spans="1:21">
      <c r="A232" s="245"/>
      <c r="B232" s="474"/>
      <c r="C232" s="474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326"/>
    </row>
    <row r="233" spans="1:21">
      <c r="A233" s="245"/>
      <c r="B233" s="474"/>
      <c r="C233" s="474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326"/>
    </row>
    <row r="234" spans="1:21">
      <c r="A234" s="245"/>
      <c r="B234" s="474"/>
      <c r="C234" s="474"/>
      <c r="D234" s="475"/>
      <c r="E234" s="475"/>
      <c r="F234" s="475"/>
      <c r="G234" s="475"/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326"/>
    </row>
    <row r="235" spans="1:21">
      <c r="A235" s="245"/>
      <c r="B235" s="474"/>
      <c r="C235" s="474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  <c r="P235" s="475"/>
      <c r="Q235" s="475"/>
      <c r="R235" s="475"/>
      <c r="S235" s="475"/>
      <c r="T235" s="475"/>
      <c r="U235" s="326"/>
    </row>
    <row r="236" spans="1:21">
      <c r="A236" s="245"/>
      <c r="B236" s="474"/>
      <c r="C236" s="474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  <c r="P236" s="475"/>
      <c r="Q236" s="475"/>
      <c r="R236" s="475"/>
      <c r="S236" s="475"/>
      <c r="T236" s="475"/>
      <c r="U236" s="326"/>
    </row>
    <row r="237" spans="1:21">
      <c r="A237" s="245"/>
      <c r="B237" s="474"/>
      <c r="C237" s="474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326"/>
    </row>
    <row r="238" spans="1:21">
      <c r="A238" s="245"/>
      <c r="B238" s="474"/>
      <c r="C238" s="474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  <c r="P238" s="475"/>
      <c r="Q238" s="475"/>
      <c r="R238" s="475"/>
      <c r="S238" s="475"/>
      <c r="T238" s="475"/>
      <c r="U238" s="326"/>
    </row>
    <row r="239" spans="1:21">
      <c r="A239" s="245"/>
      <c r="B239" s="474"/>
      <c r="C239" s="474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  <c r="P239" s="475"/>
      <c r="Q239" s="475"/>
      <c r="R239" s="475"/>
      <c r="S239" s="475"/>
      <c r="T239" s="475"/>
      <c r="U239" s="326"/>
    </row>
    <row r="240" spans="1:21">
      <c r="A240" s="245"/>
      <c r="B240" s="474"/>
      <c r="C240" s="474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  <c r="P240" s="475"/>
      <c r="Q240" s="475"/>
      <c r="R240" s="475"/>
      <c r="S240" s="475"/>
      <c r="T240" s="475"/>
      <c r="U240" s="326"/>
    </row>
    <row r="241" spans="1:21">
      <c r="A241" s="245"/>
      <c r="B241" s="474"/>
      <c r="C241" s="474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/>
      <c r="O241" s="475"/>
      <c r="P241" s="475"/>
      <c r="Q241" s="475"/>
      <c r="R241" s="475"/>
      <c r="S241" s="475"/>
      <c r="T241" s="475"/>
      <c r="U241" s="326"/>
    </row>
    <row r="242" spans="1:21">
      <c r="A242" s="245"/>
      <c r="B242" s="474"/>
      <c r="C242" s="474"/>
      <c r="D242" s="475"/>
      <c r="E242" s="475"/>
      <c r="F242" s="475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75"/>
      <c r="R242" s="475"/>
      <c r="S242" s="475"/>
      <c r="T242" s="475"/>
      <c r="U242" s="326"/>
    </row>
    <row r="243" spans="1:21">
      <c r="A243" s="245"/>
      <c r="B243" s="474"/>
      <c r="C243" s="474"/>
      <c r="D243" s="475"/>
      <c r="E243" s="475"/>
      <c r="F243" s="475"/>
      <c r="G243" s="475"/>
      <c r="H243" s="475"/>
      <c r="I243" s="475"/>
      <c r="J243" s="475"/>
      <c r="K243" s="475"/>
      <c r="L243" s="475"/>
      <c r="M243" s="475"/>
      <c r="N243" s="475"/>
      <c r="O243" s="475"/>
      <c r="P243" s="475"/>
      <c r="Q243" s="475"/>
      <c r="R243" s="475"/>
      <c r="S243" s="475"/>
      <c r="T243" s="475"/>
      <c r="U243" s="326"/>
    </row>
    <row r="244" spans="1:21">
      <c r="A244" s="245"/>
      <c r="B244" s="474"/>
      <c r="C244" s="474"/>
      <c r="D244" s="475"/>
      <c r="E244" s="475"/>
      <c r="F244" s="475"/>
      <c r="G244" s="475"/>
      <c r="H244" s="475"/>
      <c r="I244" s="475"/>
      <c r="J244" s="475"/>
      <c r="K244" s="475"/>
      <c r="L244" s="475"/>
      <c r="M244" s="475"/>
      <c r="N244" s="475"/>
      <c r="O244" s="475"/>
      <c r="P244" s="475"/>
      <c r="Q244" s="475"/>
      <c r="R244" s="475"/>
      <c r="S244" s="475"/>
      <c r="T244" s="475"/>
      <c r="U244" s="326"/>
    </row>
    <row r="245" spans="1:21">
      <c r="A245" s="245"/>
      <c r="B245" s="474"/>
      <c r="C245" s="474"/>
      <c r="D245" s="475"/>
      <c r="E245" s="475"/>
      <c r="F245" s="475"/>
      <c r="G245" s="475"/>
      <c r="H245" s="475"/>
      <c r="I245" s="475"/>
      <c r="J245" s="475"/>
      <c r="K245" s="475"/>
      <c r="L245" s="475"/>
      <c r="M245" s="475"/>
      <c r="N245" s="475"/>
      <c r="O245" s="475"/>
      <c r="P245" s="475"/>
      <c r="Q245" s="475"/>
      <c r="R245" s="475"/>
      <c r="S245" s="475"/>
      <c r="T245" s="475"/>
      <c r="U245" s="326"/>
    </row>
    <row r="246" spans="1:21">
      <c r="A246" s="245"/>
      <c r="B246" s="474"/>
      <c r="C246" s="474"/>
      <c r="D246" s="475"/>
      <c r="E246" s="475"/>
      <c r="F246" s="475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75"/>
      <c r="R246" s="475"/>
      <c r="S246" s="475"/>
      <c r="T246" s="475"/>
      <c r="U246" s="326"/>
    </row>
    <row r="247" spans="1:21">
      <c r="A247" s="245"/>
      <c r="B247" s="474"/>
      <c r="C247" s="474"/>
      <c r="D247" s="475"/>
      <c r="E247" s="475"/>
      <c r="F247" s="475"/>
      <c r="G247" s="475"/>
      <c r="H247" s="475"/>
      <c r="I247" s="475"/>
      <c r="J247" s="475"/>
      <c r="K247" s="475"/>
      <c r="L247" s="475"/>
      <c r="M247" s="475"/>
      <c r="N247" s="475"/>
      <c r="O247" s="475"/>
      <c r="P247" s="475"/>
      <c r="Q247" s="475"/>
      <c r="R247" s="475"/>
      <c r="S247" s="475"/>
      <c r="T247" s="475"/>
      <c r="U247" s="326"/>
    </row>
    <row r="248" spans="1:21">
      <c r="A248" s="245"/>
      <c r="B248" s="474"/>
      <c r="C248" s="474"/>
      <c r="D248" s="475"/>
      <c r="E248" s="475"/>
      <c r="F248" s="475"/>
      <c r="G248" s="475"/>
      <c r="H248" s="475"/>
      <c r="I248" s="475"/>
      <c r="J248" s="475"/>
      <c r="K248" s="475"/>
      <c r="L248" s="475"/>
      <c r="M248" s="475"/>
      <c r="N248" s="475"/>
      <c r="O248" s="475"/>
      <c r="P248" s="475"/>
      <c r="Q248" s="475"/>
      <c r="R248" s="475"/>
      <c r="S248" s="475"/>
      <c r="T248" s="475"/>
      <c r="U248" s="326"/>
    </row>
    <row r="249" spans="1:21">
      <c r="A249" s="245"/>
      <c r="B249" s="474"/>
      <c r="C249" s="474"/>
      <c r="D249" s="475"/>
      <c r="E249" s="475"/>
      <c r="F249" s="475"/>
      <c r="G249" s="475"/>
      <c r="H249" s="475"/>
      <c r="I249" s="475"/>
      <c r="J249" s="475"/>
      <c r="K249" s="475"/>
      <c r="L249" s="475"/>
      <c r="M249" s="475"/>
      <c r="N249" s="475"/>
      <c r="O249" s="475"/>
      <c r="P249" s="475"/>
      <c r="Q249" s="475"/>
      <c r="R249" s="475"/>
      <c r="S249" s="475"/>
      <c r="T249" s="475"/>
      <c r="U249" s="326"/>
    </row>
    <row r="250" spans="1:21">
      <c r="A250" s="245"/>
      <c r="B250" s="474"/>
      <c r="C250" s="474"/>
      <c r="D250" s="475"/>
      <c r="E250" s="475"/>
      <c r="F250" s="475"/>
      <c r="G250" s="475"/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326"/>
    </row>
    <row r="251" spans="1:21">
      <c r="A251" s="245"/>
      <c r="B251" s="474"/>
      <c r="C251" s="474"/>
      <c r="D251" s="475"/>
      <c r="E251" s="475"/>
      <c r="F251" s="475"/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75"/>
      <c r="R251" s="475"/>
      <c r="S251" s="475"/>
      <c r="T251" s="475"/>
      <c r="U251" s="326"/>
    </row>
    <row r="252" spans="1:21">
      <c r="A252" s="245"/>
      <c r="B252" s="474"/>
      <c r="C252" s="474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326"/>
    </row>
    <row r="253" spans="1:21">
      <c r="A253" s="245"/>
      <c r="B253" s="474"/>
      <c r="C253" s="474"/>
      <c r="D253" s="475"/>
      <c r="E253" s="475"/>
      <c r="F253" s="475"/>
      <c r="G253" s="475"/>
      <c r="H253" s="475"/>
      <c r="I253" s="475"/>
      <c r="J253" s="475"/>
      <c r="K253" s="475"/>
      <c r="L253" s="475"/>
      <c r="M253" s="475"/>
      <c r="N253" s="475"/>
      <c r="O253" s="475"/>
      <c r="P253" s="475"/>
      <c r="Q253" s="475"/>
      <c r="R253" s="475"/>
      <c r="S253" s="475"/>
      <c r="T253" s="475"/>
      <c r="U253" s="326"/>
    </row>
    <row r="254" spans="1:21">
      <c r="A254" s="245"/>
      <c r="B254" s="474"/>
      <c r="C254" s="474"/>
      <c r="D254" s="475"/>
      <c r="E254" s="475"/>
      <c r="F254" s="475"/>
      <c r="G254" s="475"/>
      <c r="H254" s="475"/>
      <c r="I254" s="475"/>
      <c r="J254" s="475"/>
      <c r="K254" s="475"/>
      <c r="L254" s="475"/>
      <c r="M254" s="475"/>
      <c r="N254" s="475"/>
      <c r="O254" s="475"/>
      <c r="P254" s="475"/>
      <c r="Q254" s="475"/>
      <c r="R254" s="475"/>
      <c r="S254" s="475"/>
      <c r="T254" s="475"/>
      <c r="U254" s="326"/>
    </row>
    <row r="255" spans="1:21">
      <c r="A255" s="245"/>
      <c r="B255" s="474"/>
      <c r="C255" s="474"/>
      <c r="D255" s="475"/>
      <c r="E255" s="475"/>
      <c r="F255" s="475"/>
      <c r="G255" s="475"/>
      <c r="H255" s="475"/>
      <c r="I255" s="475"/>
      <c r="J255" s="475"/>
      <c r="K255" s="475"/>
      <c r="L255" s="475"/>
      <c r="M255" s="475"/>
      <c r="N255" s="475"/>
      <c r="O255" s="475"/>
      <c r="P255" s="475"/>
      <c r="Q255" s="475"/>
      <c r="R255" s="475"/>
      <c r="S255" s="475"/>
      <c r="T255" s="475"/>
      <c r="U255" s="326"/>
    </row>
    <row r="256" spans="1:21">
      <c r="A256" s="245"/>
      <c r="B256" s="474"/>
      <c r="C256" s="474"/>
      <c r="D256" s="475"/>
      <c r="E256" s="475"/>
      <c r="F256" s="475"/>
      <c r="G256" s="475"/>
      <c r="H256" s="475"/>
      <c r="I256" s="475"/>
      <c r="J256" s="475"/>
      <c r="K256" s="475"/>
      <c r="L256" s="475"/>
      <c r="M256" s="475"/>
      <c r="N256" s="475"/>
      <c r="O256" s="475"/>
      <c r="P256" s="475"/>
      <c r="Q256" s="475"/>
      <c r="R256" s="475"/>
      <c r="S256" s="475"/>
      <c r="T256" s="475"/>
      <c r="U256" s="326"/>
    </row>
    <row r="257" spans="1:21">
      <c r="A257" s="245"/>
      <c r="B257" s="474"/>
      <c r="C257" s="474"/>
      <c r="D257" s="475"/>
      <c r="E257" s="475"/>
      <c r="F257" s="475"/>
      <c r="G257" s="475"/>
      <c r="H257" s="475"/>
      <c r="I257" s="475"/>
      <c r="J257" s="475"/>
      <c r="K257" s="475"/>
      <c r="L257" s="475"/>
      <c r="M257" s="475"/>
      <c r="N257" s="475"/>
      <c r="O257" s="475"/>
      <c r="P257" s="475"/>
      <c r="Q257" s="475"/>
      <c r="R257" s="475"/>
      <c r="S257" s="475"/>
      <c r="T257" s="475"/>
      <c r="U257" s="326"/>
    </row>
    <row r="258" spans="1:21">
      <c r="A258" s="245"/>
      <c r="B258" s="474"/>
      <c r="C258" s="474"/>
      <c r="D258" s="475"/>
      <c r="E258" s="475"/>
      <c r="F258" s="475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75"/>
      <c r="R258" s="475"/>
      <c r="S258" s="475"/>
      <c r="T258" s="475"/>
      <c r="U258" s="326"/>
    </row>
    <row r="259" spans="1:21">
      <c r="A259" s="245"/>
      <c r="B259" s="474"/>
      <c r="C259" s="474"/>
      <c r="D259" s="475"/>
      <c r="E259" s="475"/>
      <c r="F259" s="475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75"/>
      <c r="R259" s="475"/>
      <c r="S259" s="475"/>
      <c r="T259" s="475"/>
      <c r="U259" s="326"/>
    </row>
    <row r="260" spans="1:21">
      <c r="A260" s="245"/>
      <c r="B260" s="474"/>
      <c r="C260" s="474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326"/>
    </row>
    <row r="261" spans="1:21">
      <c r="A261" s="245"/>
      <c r="B261" s="474"/>
      <c r="C261" s="474"/>
      <c r="D261" s="475"/>
      <c r="E261" s="475"/>
      <c r="F261" s="475"/>
      <c r="G261" s="475"/>
      <c r="H261" s="475"/>
      <c r="I261" s="475"/>
      <c r="J261" s="475"/>
      <c r="K261" s="475"/>
      <c r="L261" s="475"/>
      <c r="M261" s="475"/>
      <c r="N261" s="475"/>
      <c r="O261" s="475"/>
      <c r="P261" s="475"/>
      <c r="Q261" s="475"/>
      <c r="R261" s="475"/>
      <c r="S261" s="475"/>
      <c r="T261" s="475"/>
      <c r="U261" s="326"/>
    </row>
    <row r="262" spans="1:21">
      <c r="A262" s="245"/>
      <c r="B262" s="474"/>
      <c r="C262" s="474"/>
      <c r="D262" s="475"/>
      <c r="E262" s="475"/>
      <c r="F262" s="475"/>
      <c r="G262" s="475"/>
      <c r="H262" s="475"/>
      <c r="I262" s="475"/>
      <c r="J262" s="475"/>
      <c r="K262" s="475"/>
      <c r="L262" s="475"/>
      <c r="M262" s="475"/>
      <c r="N262" s="475"/>
      <c r="O262" s="475"/>
      <c r="P262" s="475"/>
      <c r="Q262" s="475"/>
      <c r="R262" s="475"/>
      <c r="S262" s="475"/>
      <c r="T262" s="475"/>
      <c r="U262" s="326"/>
    </row>
    <row r="263" spans="1:21">
      <c r="A263" s="245"/>
      <c r="B263" s="474"/>
      <c r="C263" s="474"/>
      <c r="D263" s="475"/>
      <c r="E263" s="475"/>
      <c r="F263" s="475"/>
      <c r="G263" s="475"/>
      <c r="H263" s="475"/>
      <c r="I263" s="475"/>
      <c r="J263" s="475"/>
      <c r="K263" s="475"/>
      <c r="L263" s="475"/>
      <c r="M263" s="475"/>
      <c r="N263" s="475"/>
      <c r="O263" s="475"/>
      <c r="P263" s="475"/>
      <c r="Q263" s="475"/>
      <c r="R263" s="475"/>
      <c r="S263" s="475"/>
      <c r="T263" s="475"/>
      <c r="U263" s="326"/>
    </row>
    <row r="264" spans="1:21">
      <c r="A264" s="245"/>
      <c r="B264" s="474"/>
      <c r="C264" s="474"/>
      <c r="D264" s="475"/>
      <c r="E264" s="475"/>
      <c r="F264" s="475"/>
      <c r="G264" s="475"/>
      <c r="H264" s="475"/>
      <c r="I264" s="475"/>
      <c r="J264" s="475"/>
      <c r="K264" s="475"/>
      <c r="L264" s="475"/>
      <c r="M264" s="475"/>
      <c r="N264" s="475"/>
      <c r="O264" s="475"/>
      <c r="P264" s="475"/>
      <c r="Q264" s="475"/>
      <c r="R264" s="475"/>
      <c r="S264" s="475"/>
      <c r="T264" s="475"/>
      <c r="U264" s="326"/>
    </row>
    <row r="265" spans="1:21">
      <c r="A265" s="245"/>
      <c r="B265" s="474"/>
      <c r="C265" s="474"/>
      <c r="D265" s="475"/>
      <c r="E265" s="475"/>
      <c r="F265" s="475"/>
      <c r="G265" s="475"/>
      <c r="H265" s="475"/>
      <c r="I265" s="475"/>
      <c r="J265" s="475"/>
      <c r="K265" s="475"/>
      <c r="L265" s="475"/>
      <c r="M265" s="475"/>
      <c r="N265" s="475"/>
      <c r="O265" s="475"/>
      <c r="P265" s="475"/>
      <c r="Q265" s="475"/>
      <c r="R265" s="475"/>
      <c r="S265" s="475"/>
      <c r="T265" s="475"/>
      <c r="U265" s="326"/>
    </row>
    <row r="266" spans="1:21">
      <c r="A266" s="245"/>
      <c r="B266" s="474"/>
      <c r="C266" s="474"/>
      <c r="D266" s="475"/>
      <c r="E266" s="475"/>
      <c r="F266" s="475"/>
      <c r="G266" s="475"/>
      <c r="H266" s="475"/>
      <c r="I266" s="475"/>
      <c r="J266" s="475"/>
      <c r="K266" s="475"/>
      <c r="L266" s="475"/>
      <c r="M266" s="475"/>
      <c r="N266" s="475"/>
      <c r="O266" s="475"/>
      <c r="P266" s="475"/>
      <c r="Q266" s="475"/>
      <c r="R266" s="475"/>
      <c r="S266" s="475"/>
      <c r="T266" s="475"/>
      <c r="U266" s="326"/>
    </row>
    <row r="267" spans="1:21">
      <c r="A267" s="245"/>
      <c r="B267" s="474"/>
      <c r="C267" s="474"/>
      <c r="D267" s="475"/>
      <c r="E267" s="475"/>
      <c r="F267" s="475"/>
      <c r="G267" s="475"/>
      <c r="H267" s="475"/>
      <c r="I267" s="475"/>
      <c r="J267" s="475"/>
      <c r="K267" s="475"/>
      <c r="L267" s="475"/>
      <c r="M267" s="475"/>
      <c r="N267" s="475"/>
      <c r="O267" s="475"/>
      <c r="P267" s="475"/>
      <c r="Q267" s="475"/>
      <c r="R267" s="475"/>
      <c r="S267" s="475"/>
      <c r="T267" s="475"/>
      <c r="U267" s="326"/>
    </row>
    <row r="268" spans="1:21">
      <c r="A268" s="245"/>
      <c r="B268" s="474"/>
      <c r="C268" s="474"/>
      <c r="D268" s="475"/>
      <c r="E268" s="475"/>
      <c r="F268" s="475"/>
      <c r="G268" s="475"/>
      <c r="H268" s="475"/>
      <c r="I268" s="475"/>
      <c r="J268" s="475"/>
      <c r="K268" s="475"/>
      <c r="L268" s="475"/>
      <c r="M268" s="475"/>
      <c r="N268" s="475"/>
      <c r="O268" s="475"/>
      <c r="P268" s="475"/>
      <c r="Q268" s="475"/>
      <c r="R268" s="475"/>
      <c r="S268" s="475"/>
      <c r="T268" s="475"/>
      <c r="U268" s="326"/>
    </row>
    <row r="269" spans="1:21">
      <c r="A269" s="245"/>
      <c r="B269" s="474"/>
      <c r="C269" s="474"/>
      <c r="D269" s="475"/>
      <c r="E269" s="475"/>
      <c r="F269" s="475"/>
      <c r="G269" s="475"/>
      <c r="H269" s="475"/>
      <c r="I269" s="475"/>
      <c r="J269" s="475"/>
      <c r="K269" s="475"/>
      <c r="L269" s="475"/>
      <c r="M269" s="475"/>
      <c r="N269" s="475"/>
      <c r="O269" s="475"/>
      <c r="P269" s="475"/>
      <c r="Q269" s="475"/>
      <c r="R269" s="475"/>
      <c r="S269" s="475"/>
      <c r="T269" s="475"/>
      <c r="U269" s="326"/>
    </row>
    <row r="270" spans="1:21">
      <c r="A270" s="245"/>
      <c r="B270" s="474"/>
      <c r="C270" s="474"/>
      <c r="D270" s="475"/>
      <c r="E270" s="475"/>
      <c r="F270" s="475"/>
      <c r="G270" s="475"/>
      <c r="H270" s="475"/>
      <c r="I270" s="475"/>
      <c r="J270" s="475"/>
      <c r="K270" s="475"/>
      <c r="L270" s="475"/>
      <c r="M270" s="475"/>
      <c r="N270" s="475"/>
      <c r="O270" s="475"/>
      <c r="P270" s="475"/>
      <c r="Q270" s="475"/>
      <c r="R270" s="475"/>
      <c r="S270" s="475"/>
      <c r="T270" s="475"/>
      <c r="U270" s="326"/>
    </row>
    <row r="271" spans="1:21">
      <c r="A271" s="245"/>
      <c r="B271" s="474"/>
      <c r="C271" s="474"/>
      <c r="D271" s="475"/>
      <c r="E271" s="475"/>
      <c r="F271" s="475"/>
      <c r="G271" s="475"/>
      <c r="H271" s="475"/>
      <c r="I271" s="475"/>
      <c r="J271" s="475"/>
      <c r="K271" s="475"/>
      <c r="L271" s="475"/>
      <c r="M271" s="475"/>
      <c r="N271" s="475"/>
      <c r="O271" s="475"/>
      <c r="P271" s="475"/>
      <c r="Q271" s="475"/>
      <c r="R271" s="475"/>
      <c r="S271" s="475"/>
      <c r="T271" s="475"/>
      <c r="U271" s="326"/>
    </row>
    <row r="272" spans="1:21">
      <c r="A272" s="245"/>
      <c r="B272" s="474"/>
      <c r="C272" s="474"/>
      <c r="D272" s="475"/>
      <c r="E272" s="475"/>
      <c r="F272" s="475"/>
      <c r="G272" s="475"/>
      <c r="H272" s="475"/>
      <c r="I272" s="475"/>
      <c r="J272" s="475"/>
      <c r="K272" s="475"/>
      <c r="L272" s="475"/>
      <c r="M272" s="475"/>
      <c r="N272" s="475"/>
      <c r="O272" s="475"/>
      <c r="P272" s="475"/>
      <c r="Q272" s="475"/>
      <c r="R272" s="475"/>
      <c r="S272" s="475"/>
      <c r="T272" s="475"/>
      <c r="U272" s="326"/>
    </row>
    <row r="273" spans="1:21">
      <c r="A273" s="245"/>
      <c r="B273" s="474"/>
      <c r="C273" s="474"/>
      <c r="D273" s="475"/>
      <c r="E273" s="475"/>
      <c r="F273" s="475"/>
      <c r="G273" s="475"/>
      <c r="H273" s="475"/>
      <c r="I273" s="475"/>
      <c r="J273" s="475"/>
      <c r="K273" s="475"/>
      <c r="L273" s="475"/>
      <c r="M273" s="475"/>
      <c r="N273" s="475"/>
      <c r="O273" s="475"/>
      <c r="P273" s="475"/>
      <c r="Q273" s="475"/>
      <c r="R273" s="475"/>
      <c r="S273" s="475"/>
      <c r="T273" s="475"/>
      <c r="U273" s="326"/>
    </row>
    <row r="274" spans="1:21">
      <c r="A274" s="245"/>
      <c r="B274" s="474"/>
      <c r="C274" s="474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326"/>
    </row>
    <row r="275" spans="1:21">
      <c r="A275" s="245"/>
      <c r="B275" s="474"/>
      <c r="C275" s="474"/>
      <c r="D275" s="475"/>
      <c r="E275" s="475"/>
      <c r="F275" s="475"/>
      <c r="G275" s="475"/>
      <c r="H275" s="475"/>
      <c r="I275" s="475"/>
      <c r="J275" s="475"/>
      <c r="K275" s="475"/>
      <c r="L275" s="475"/>
      <c r="M275" s="475"/>
      <c r="N275" s="475"/>
      <c r="O275" s="475"/>
      <c r="P275" s="475"/>
      <c r="Q275" s="475"/>
      <c r="R275" s="475"/>
      <c r="S275" s="475"/>
      <c r="T275" s="475"/>
      <c r="U275" s="326"/>
    </row>
    <row r="276" spans="1:21">
      <c r="A276" s="245"/>
      <c r="B276" s="474"/>
      <c r="C276" s="474"/>
      <c r="D276" s="475"/>
      <c r="E276" s="475"/>
      <c r="F276" s="475"/>
      <c r="G276" s="475"/>
      <c r="H276" s="475"/>
      <c r="I276" s="475"/>
      <c r="J276" s="475"/>
      <c r="K276" s="475"/>
      <c r="L276" s="475"/>
      <c r="M276" s="475"/>
      <c r="N276" s="475"/>
      <c r="O276" s="475"/>
      <c r="P276" s="475"/>
      <c r="Q276" s="475"/>
      <c r="R276" s="475"/>
      <c r="S276" s="475"/>
      <c r="T276" s="475"/>
      <c r="U276" s="326"/>
    </row>
    <row r="277" spans="1:21">
      <c r="A277" s="245"/>
      <c r="B277" s="474"/>
      <c r="C277" s="474"/>
      <c r="D277" s="475"/>
      <c r="E277" s="475"/>
      <c r="F277" s="475"/>
      <c r="G277" s="475"/>
      <c r="H277" s="475"/>
      <c r="I277" s="475"/>
      <c r="J277" s="475"/>
      <c r="K277" s="475"/>
      <c r="L277" s="475"/>
      <c r="M277" s="475"/>
      <c r="N277" s="475"/>
      <c r="O277" s="475"/>
      <c r="P277" s="475"/>
      <c r="Q277" s="475"/>
      <c r="R277" s="475"/>
      <c r="S277" s="475"/>
      <c r="T277" s="475"/>
      <c r="U277" s="326"/>
    </row>
    <row r="278" spans="1:21">
      <c r="A278" s="245"/>
      <c r="B278" s="474"/>
      <c r="C278" s="474"/>
      <c r="D278" s="475"/>
      <c r="E278" s="475"/>
      <c r="F278" s="475"/>
      <c r="G278" s="475"/>
      <c r="H278" s="475"/>
      <c r="I278" s="475"/>
      <c r="J278" s="475"/>
      <c r="K278" s="475"/>
      <c r="L278" s="475"/>
      <c r="M278" s="475"/>
      <c r="N278" s="475"/>
      <c r="O278" s="475"/>
      <c r="P278" s="475"/>
      <c r="Q278" s="475"/>
      <c r="R278" s="475"/>
      <c r="S278" s="475"/>
      <c r="T278" s="475"/>
      <c r="U278" s="326"/>
    </row>
    <row r="279" spans="1:21">
      <c r="A279" s="245"/>
      <c r="B279" s="474"/>
      <c r="C279" s="474"/>
      <c r="D279" s="475"/>
      <c r="E279" s="475"/>
      <c r="F279" s="475"/>
      <c r="G279" s="475"/>
      <c r="H279" s="475"/>
      <c r="I279" s="475"/>
      <c r="J279" s="475"/>
      <c r="K279" s="475"/>
      <c r="L279" s="475"/>
      <c r="M279" s="475"/>
      <c r="N279" s="475"/>
      <c r="O279" s="475"/>
      <c r="P279" s="475"/>
      <c r="Q279" s="475"/>
      <c r="R279" s="475"/>
      <c r="S279" s="475"/>
      <c r="T279" s="475"/>
      <c r="U279" s="326"/>
    </row>
    <row r="280" spans="1:21">
      <c r="A280" s="245"/>
      <c r="B280" s="474"/>
      <c r="C280" s="474"/>
      <c r="D280" s="475"/>
      <c r="E280" s="475"/>
      <c r="F280" s="475"/>
      <c r="G280" s="475"/>
      <c r="H280" s="475"/>
      <c r="I280" s="475"/>
      <c r="J280" s="475"/>
      <c r="K280" s="475"/>
      <c r="L280" s="475"/>
      <c r="M280" s="475"/>
      <c r="N280" s="475"/>
      <c r="O280" s="475"/>
      <c r="P280" s="475"/>
      <c r="Q280" s="475"/>
      <c r="R280" s="475"/>
      <c r="S280" s="475"/>
      <c r="T280" s="475"/>
      <c r="U280" s="326"/>
    </row>
    <row r="281" spans="1:21">
      <c r="A281" s="245"/>
      <c r="B281" s="474"/>
      <c r="C281" s="474"/>
      <c r="D281" s="475"/>
      <c r="E281" s="475"/>
      <c r="F281" s="475"/>
      <c r="G281" s="475"/>
      <c r="H281" s="475"/>
      <c r="I281" s="475"/>
      <c r="J281" s="475"/>
      <c r="K281" s="475"/>
      <c r="L281" s="475"/>
      <c r="M281" s="475"/>
      <c r="N281" s="475"/>
      <c r="O281" s="475"/>
      <c r="P281" s="475"/>
      <c r="Q281" s="475"/>
      <c r="R281" s="475"/>
      <c r="S281" s="475"/>
      <c r="T281" s="475"/>
      <c r="U281" s="326"/>
    </row>
    <row r="282" spans="1:21">
      <c r="A282" s="245"/>
      <c r="B282" s="474"/>
      <c r="C282" s="474"/>
      <c r="D282" s="475"/>
      <c r="E282" s="475"/>
      <c r="F282" s="475"/>
      <c r="G282" s="475"/>
      <c r="H282" s="475"/>
      <c r="I282" s="475"/>
      <c r="J282" s="475"/>
      <c r="K282" s="475"/>
      <c r="L282" s="475"/>
      <c r="M282" s="475"/>
      <c r="N282" s="475"/>
      <c r="O282" s="475"/>
      <c r="P282" s="475"/>
      <c r="Q282" s="475"/>
      <c r="R282" s="475"/>
      <c r="S282" s="475"/>
      <c r="T282" s="475"/>
      <c r="U282" s="326"/>
    </row>
    <row r="283" spans="1:21">
      <c r="A283" s="245"/>
      <c r="B283" s="474"/>
      <c r="C283" s="474"/>
      <c r="D283" s="475"/>
      <c r="E283" s="475"/>
      <c r="F283" s="475"/>
      <c r="G283" s="475"/>
      <c r="H283" s="475"/>
      <c r="I283" s="475"/>
      <c r="J283" s="475"/>
      <c r="K283" s="475"/>
      <c r="L283" s="475"/>
      <c r="M283" s="475"/>
      <c r="N283" s="475"/>
      <c r="O283" s="475"/>
      <c r="P283" s="475"/>
      <c r="Q283" s="475"/>
      <c r="R283" s="475"/>
      <c r="S283" s="475"/>
      <c r="T283" s="475"/>
      <c r="U283" s="326"/>
    </row>
    <row r="284" spans="1:21">
      <c r="A284" s="245"/>
      <c r="B284" s="474"/>
      <c r="C284" s="474"/>
      <c r="D284" s="475"/>
      <c r="E284" s="475"/>
      <c r="F284" s="475"/>
      <c r="G284" s="475"/>
      <c r="H284" s="475"/>
      <c r="I284" s="475"/>
      <c r="J284" s="475"/>
      <c r="K284" s="475"/>
      <c r="L284" s="475"/>
      <c r="M284" s="475"/>
      <c r="N284" s="475"/>
      <c r="O284" s="475"/>
      <c r="P284" s="475"/>
      <c r="Q284" s="475"/>
      <c r="R284" s="475"/>
      <c r="S284" s="475"/>
      <c r="T284" s="475"/>
      <c r="U284" s="326"/>
    </row>
    <row r="285" spans="1:21">
      <c r="A285" s="245"/>
      <c r="B285" s="474"/>
      <c r="C285" s="474"/>
      <c r="D285" s="475"/>
      <c r="E285" s="475"/>
      <c r="F285" s="475"/>
      <c r="G285" s="475"/>
      <c r="H285" s="475"/>
      <c r="I285" s="475"/>
      <c r="J285" s="475"/>
      <c r="K285" s="475"/>
      <c r="L285" s="475"/>
      <c r="M285" s="475"/>
      <c r="N285" s="475"/>
      <c r="O285" s="475"/>
      <c r="P285" s="475"/>
      <c r="Q285" s="475"/>
      <c r="R285" s="475"/>
      <c r="S285" s="475"/>
      <c r="T285" s="475"/>
      <c r="U285" s="326"/>
    </row>
    <row r="286" spans="1:21">
      <c r="A286" s="245"/>
      <c r="B286" s="474"/>
      <c r="C286" s="474"/>
      <c r="D286" s="475"/>
      <c r="E286" s="475"/>
      <c r="F286" s="475"/>
      <c r="G286" s="475"/>
      <c r="H286" s="475"/>
      <c r="I286" s="475"/>
      <c r="J286" s="475"/>
      <c r="K286" s="475"/>
      <c r="L286" s="475"/>
      <c r="M286" s="475"/>
      <c r="N286" s="475"/>
      <c r="O286" s="475"/>
      <c r="P286" s="475"/>
      <c r="Q286" s="475"/>
      <c r="R286" s="475"/>
      <c r="S286" s="475"/>
      <c r="T286" s="475"/>
      <c r="U286" s="326"/>
    </row>
    <row r="287" spans="1:21">
      <c r="A287" s="245"/>
      <c r="B287" s="474"/>
      <c r="C287" s="474"/>
      <c r="D287" s="475"/>
      <c r="E287" s="475"/>
      <c r="F287" s="475"/>
      <c r="G287" s="475"/>
      <c r="H287" s="475"/>
      <c r="I287" s="475"/>
      <c r="J287" s="475"/>
      <c r="K287" s="475"/>
      <c r="L287" s="475"/>
      <c r="M287" s="475"/>
      <c r="N287" s="475"/>
      <c r="O287" s="475"/>
      <c r="P287" s="475"/>
      <c r="Q287" s="475"/>
      <c r="R287" s="475"/>
      <c r="S287" s="475"/>
      <c r="T287" s="475"/>
      <c r="U287" s="326"/>
    </row>
    <row r="288" spans="1:21">
      <c r="A288" s="245"/>
      <c r="B288" s="474"/>
      <c r="C288" s="474"/>
      <c r="D288" s="475"/>
      <c r="E288" s="475"/>
      <c r="F288" s="475"/>
      <c r="G288" s="475"/>
      <c r="H288" s="475"/>
      <c r="I288" s="475"/>
      <c r="J288" s="475"/>
      <c r="K288" s="475"/>
      <c r="L288" s="475"/>
      <c r="M288" s="475"/>
      <c r="N288" s="475"/>
      <c r="O288" s="475"/>
      <c r="P288" s="475"/>
      <c r="Q288" s="475"/>
      <c r="R288" s="475"/>
      <c r="S288" s="475"/>
      <c r="T288" s="475"/>
      <c r="U288" s="326"/>
    </row>
    <row r="289" spans="1:21">
      <c r="A289" s="245"/>
      <c r="B289" s="474"/>
      <c r="C289" s="474"/>
      <c r="D289" s="475"/>
      <c r="E289" s="475"/>
      <c r="F289" s="475"/>
      <c r="G289" s="475"/>
      <c r="H289" s="475"/>
      <c r="I289" s="475"/>
      <c r="J289" s="475"/>
      <c r="K289" s="475"/>
      <c r="L289" s="475"/>
      <c r="M289" s="475"/>
      <c r="N289" s="475"/>
      <c r="O289" s="475"/>
      <c r="P289" s="475"/>
      <c r="Q289" s="475"/>
      <c r="R289" s="475"/>
      <c r="S289" s="475"/>
      <c r="T289" s="475"/>
      <c r="U289" s="326"/>
    </row>
    <row r="290" spans="1:21">
      <c r="A290" s="245"/>
      <c r="B290" s="474"/>
      <c r="C290" s="474"/>
      <c r="D290" s="475"/>
      <c r="E290" s="475"/>
      <c r="F290" s="475"/>
      <c r="G290" s="475"/>
      <c r="H290" s="475"/>
      <c r="I290" s="475"/>
      <c r="J290" s="475"/>
      <c r="K290" s="475"/>
      <c r="L290" s="475"/>
      <c r="M290" s="475"/>
      <c r="N290" s="475"/>
      <c r="O290" s="475"/>
      <c r="P290" s="475"/>
      <c r="Q290" s="475"/>
      <c r="R290" s="475"/>
      <c r="S290" s="475"/>
      <c r="T290" s="475"/>
      <c r="U290" s="326"/>
    </row>
    <row r="291" spans="1:21">
      <c r="A291" s="245"/>
      <c r="B291" s="474"/>
      <c r="C291" s="474"/>
      <c r="D291" s="475"/>
      <c r="E291" s="475"/>
      <c r="F291" s="475"/>
      <c r="G291" s="475"/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326"/>
    </row>
    <row r="292" spans="1:21">
      <c r="A292" s="245"/>
      <c r="B292" s="474"/>
      <c r="C292" s="474"/>
      <c r="D292" s="475"/>
      <c r="E292" s="475"/>
      <c r="F292" s="475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75"/>
      <c r="R292" s="475"/>
      <c r="S292" s="475"/>
      <c r="T292" s="475"/>
      <c r="U292" s="326"/>
    </row>
    <row r="293" spans="1:21">
      <c r="A293" s="245"/>
      <c r="B293" s="474"/>
      <c r="C293" s="474"/>
      <c r="D293" s="475"/>
      <c r="E293" s="475"/>
      <c r="F293" s="475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75"/>
      <c r="R293" s="475"/>
      <c r="S293" s="475"/>
      <c r="T293" s="475"/>
      <c r="U293" s="326"/>
    </row>
    <row r="294" spans="1:21">
      <c r="A294" s="245"/>
      <c r="B294" s="474"/>
      <c r="C294" s="474"/>
      <c r="D294" s="475"/>
      <c r="E294" s="475"/>
      <c r="F294" s="475"/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75"/>
      <c r="R294" s="475"/>
      <c r="S294" s="475"/>
      <c r="T294" s="475"/>
      <c r="U294" s="326"/>
    </row>
    <row r="295" spans="1:21">
      <c r="A295" s="245"/>
      <c r="B295" s="474"/>
      <c r="C295" s="474"/>
      <c r="D295" s="475"/>
      <c r="E295" s="475"/>
      <c r="F295" s="475"/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75"/>
      <c r="R295" s="475"/>
      <c r="S295" s="475"/>
      <c r="T295" s="475"/>
      <c r="U295" s="326"/>
    </row>
    <row r="296" spans="1:21">
      <c r="A296" s="245"/>
      <c r="B296" s="474"/>
      <c r="C296" s="474"/>
      <c r="D296" s="475"/>
      <c r="E296" s="475"/>
      <c r="F296" s="475"/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75"/>
      <c r="R296" s="475"/>
      <c r="S296" s="475"/>
      <c r="T296" s="475"/>
      <c r="U296" s="326"/>
    </row>
    <row r="297" spans="1:21">
      <c r="A297" s="245"/>
      <c r="B297" s="474"/>
      <c r="C297" s="474"/>
      <c r="D297" s="475"/>
      <c r="E297" s="475"/>
      <c r="F297" s="475"/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75"/>
      <c r="R297" s="475"/>
      <c r="S297" s="475"/>
      <c r="T297" s="475"/>
      <c r="U297" s="326"/>
    </row>
    <row r="298" spans="1:21">
      <c r="A298" s="245"/>
      <c r="B298" s="474"/>
      <c r="C298" s="474"/>
      <c r="D298" s="475"/>
      <c r="E298" s="475"/>
      <c r="F298" s="475"/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75"/>
      <c r="R298" s="475"/>
      <c r="S298" s="475"/>
      <c r="T298" s="475"/>
      <c r="U298" s="326"/>
    </row>
    <row r="299" spans="1:21">
      <c r="A299" s="245"/>
      <c r="B299" s="474"/>
      <c r="C299" s="474"/>
      <c r="D299" s="475"/>
      <c r="E299" s="475"/>
      <c r="F299" s="475"/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75"/>
      <c r="R299" s="475"/>
      <c r="S299" s="475"/>
      <c r="T299" s="475"/>
      <c r="U299" s="326"/>
    </row>
    <row r="300" spans="1:21">
      <c r="A300" s="245"/>
      <c r="B300" s="474"/>
      <c r="C300" s="474"/>
      <c r="D300" s="475"/>
      <c r="E300" s="475"/>
      <c r="F300" s="475"/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75"/>
      <c r="R300" s="475"/>
      <c r="S300" s="475"/>
      <c r="T300" s="475"/>
      <c r="U300" s="326"/>
    </row>
    <row r="301" spans="1:21">
      <c r="A301" s="245"/>
      <c r="B301" s="474"/>
      <c r="C301" s="474"/>
      <c r="D301" s="475"/>
      <c r="E301" s="475"/>
      <c r="F301" s="475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75"/>
      <c r="R301" s="475"/>
      <c r="S301" s="475"/>
      <c r="T301" s="475"/>
      <c r="U301" s="326"/>
    </row>
    <row r="302" spans="1:21">
      <c r="A302" s="245"/>
      <c r="B302" s="474"/>
      <c r="C302" s="474"/>
      <c r="D302" s="475"/>
      <c r="E302" s="475"/>
      <c r="F302" s="475"/>
      <c r="G302" s="475"/>
      <c r="H302" s="475"/>
      <c r="I302" s="475"/>
      <c r="J302" s="475"/>
      <c r="K302" s="475"/>
      <c r="L302" s="475"/>
      <c r="M302" s="475"/>
      <c r="N302" s="475"/>
      <c r="O302" s="475"/>
      <c r="P302" s="475"/>
      <c r="Q302" s="475"/>
      <c r="R302" s="475"/>
      <c r="S302" s="475"/>
      <c r="T302" s="475"/>
      <c r="U302" s="326"/>
    </row>
    <row r="303" spans="1:21">
      <c r="A303" s="245"/>
      <c r="B303" s="474"/>
      <c r="C303" s="474"/>
      <c r="D303" s="475"/>
      <c r="E303" s="475"/>
      <c r="F303" s="475"/>
      <c r="G303" s="475"/>
      <c r="H303" s="475"/>
      <c r="I303" s="475"/>
      <c r="J303" s="475"/>
      <c r="K303" s="475"/>
      <c r="L303" s="475"/>
      <c r="M303" s="475"/>
      <c r="N303" s="475"/>
      <c r="O303" s="475"/>
      <c r="P303" s="475"/>
      <c r="Q303" s="475"/>
      <c r="R303" s="475"/>
      <c r="S303" s="475"/>
      <c r="T303" s="475"/>
      <c r="U303" s="326"/>
    </row>
  </sheetData>
  <mergeCells count="4">
    <mergeCell ref="A187:Q187"/>
    <mergeCell ref="U169:U178"/>
    <mergeCell ref="A1:T1"/>
    <mergeCell ref="A2:T2"/>
  </mergeCells>
  <phoneticPr fontId="5" type="noConversion"/>
  <pageMargins left="0.27559055118110237" right="0.11811023622047245" top="0.59055118110236227" bottom="0.23622047244094491" header="0.27559055118110237" footer="7.874015748031496E-2"/>
  <pageSetup paperSize="9" scale="75" firstPageNumber="37" pageOrder="overThenDown" orientation="landscape" horizontalDpi="4294967293" r:id="rId1"/>
  <headerFooter alignWithMargins="0">
    <oddFooter>&amp;L&amp;"Browallia New,Regular"&amp;14ภาคผนวก รายงานการประเมินตนเอง ปีการศึกษา 2552 : ข้อมูลพื้นฐาน &amp;R&amp;"Browallia New,Regular"&amp;14annex &amp;P</oddFooter>
  </headerFooter>
  <rowBreaks count="12" manualBreakCount="12">
    <brk id="41" max="21" man="1"/>
    <brk id="56" max="20" man="1"/>
    <brk id="68" max="20" man="1"/>
    <brk id="80" max="20" man="1"/>
    <brk id="86" max="20" man="1"/>
    <brk id="98" max="20" man="1"/>
    <brk id="116" max="20" man="1"/>
    <brk id="130" max="20" man="1"/>
    <brk id="143" max="20" man="1"/>
    <brk id="150" max="19" man="1"/>
    <brk id="155" max="20" man="1"/>
    <brk id="167" max="1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03"/>
  <sheetViews>
    <sheetView view="pageBreakPreview" zoomScaleNormal="100" workbookViewId="0"/>
  </sheetViews>
  <sheetFormatPr defaultRowHeight="21.75"/>
  <cols>
    <col min="1" max="1" width="103.28515625" style="597" customWidth="1"/>
    <col min="2" max="16384" width="9.140625" style="597"/>
  </cols>
  <sheetData>
    <row r="1" spans="1:1" s="342" customFormat="1" ht="30">
      <c r="A1" s="602" t="s">
        <v>1142</v>
      </c>
    </row>
    <row r="2" spans="1:1" ht="12" customHeight="1"/>
    <row r="3" spans="1:1" s="598" customFormat="1" ht="26.25">
      <c r="A3" s="603" t="s">
        <v>412</v>
      </c>
    </row>
    <row r="4" spans="1:1" s="605" customFormat="1" ht="22.5">
      <c r="A4" s="604" t="s">
        <v>220</v>
      </c>
    </row>
    <row r="5" spans="1:1">
      <c r="A5" s="599" t="s">
        <v>413</v>
      </c>
    </row>
    <row r="6" spans="1:1">
      <c r="A6" s="599" t="s">
        <v>414</v>
      </c>
    </row>
    <row r="7" spans="1:1">
      <c r="A7" s="599" t="s">
        <v>415</v>
      </c>
    </row>
    <row r="8" spans="1:1">
      <c r="A8" s="599" t="s">
        <v>416</v>
      </c>
    </row>
    <row r="9" spans="1:1">
      <c r="A9" s="599" t="s">
        <v>417</v>
      </c>
    </row>
    <row r="10" spans="1:1">
      <c r="A10" s="599" t="s">
        <v>418</v>
      </c>
    </row>
    <row r="11" spans="1:1">
      <c r="A11" s="599" t="s">
        <v>419</v>
      </c>
    </row>
    <row r="12" spans="1:1">
      <c r="A12" s="599" t="s">
        <v>221</v>
      </c>
    </row>
    <row r="13" spans="1:1">
      <c r="A13" s="599" t="s">
        <v>749</v>
      </c>
    </row>
    <row r="14" spans="1:1">
      <c r="A14" s="599" t="s">
        <v>750</v>
      </c>
    </row>
    <row r="15" spans="1:1" ht="5.25" customHeight="1"/>
    <row r="16" spans="1:1" s="605" customFormat="1" ht="22.5">
      <c r="A16" s="604" t="s">
        <v>222</v>
      </c>
    </row>
    <row r="17" spans="1:1">
      <c r="A17" s="599" t="s">
        <v>420</v>
      </c>
    </row>
    <row r="18" spans="1:1" ht="5.25" customHeight="1"/>
    <row r="19" spans="1:1" s="605" customFormat="1" ht="22.5">
      <c r="A19" s="604" t="s">
        <v>879</v>
      </c>
    </row>
    <row r="20" spans="1:1">
      <c r="A20" s="599" t="s">
        <v>780</v>
      </c>
    </row>
    <row r="21" spans="1:1" ht="22.5" customHeight="1">
      <c r="A21" s="597" t="s">
        <v>781</v>
      </c>
    </row>
    <row r="22" spans="1:1" ht="8.25" customHeight="1"/>
    <row r="23" spans="1:1" s="605" customFormat="1" ht="22.5">
      <c r="A23" s="604" t="s">
        <v>779</v>
      </c>
    </row>
    <row r="24" spans="1:1">
      <c r="A24" s="599" t="s">
        <v>160</v>
      </c>
    </row>
    <row r="25" spans="1:1">
      <c r="A25" s="599" t="s">
        <v>161</v>
      </c>
    </row>
    <row r="26" spans="1:1" ht="5.25" customHeight="1"/>
    <row r="27" spans="1:1" s="605" customFormat="1" ht="22.5">
      <c r="A27" s="604" t="s">
        <v>223</v>
      </c>
    </row>
    <row r="28" spans="1:1">
      <c r="A28" s="599" t="s">
        <v>2</v>
      </c>
    </row>
    <row r="29" spans="1:1">
      <c r="A29" s="599" t="s">
        <v>751</v>
      </c>
    </row>
    <row r="30" spans="1:1" ht="22.5" customHeight="1">
      <c r="A30" s="600" t="s">
        <v>752</v>
      </c>
    </row>
    <row r="31" spans="1:1">
      <c r="A31" s="599" t="s">
        <v>753</v>
      </c>
    </row>
    <row r="32" spans="1:1">
      <c r="A32" s="599" t="s">
        <v>754</v>
      </c>
    </row>
    <row r="33" spans="1:1">
      <c r="A33" s="599" t="s">
        <v>782</v>
      </c>
    </row>
    <row r="34" spans="1:1">
      <c r="A34" s="599" t="s">
        <v>783</v>
      </c>
    </row>
    <row r="35" spans="1:1">
      <c r="A35" s="599" t="s">
        <v>880</v>
      </c>
    </row>
    <row r="36" spans="1:1" ht="5.25" customHeight="1"/>
    <row r="37" spans="1:1" s="605" customFormat="1" ht="22.5">
      <c r="A37" s="604" t="s">
        <v>149</v>
      </c>
    </row>
    <row r="38" spans="1:1">
      <c r="A38" s="599" t="s">
        <v>421</v>
      </c>
    </row>
    <row r="39" spans="1:1">
      <c r="A39" s="599" t="s">
        <v>422</v>
      </c>
    </row>
    <row r="40" spans="1:1">
      <c r="A40" s="599" t="s">
        <v>423</v>
      </c>
    </row>
    <row r="41" spans="1:1">
      <c r="A41" s="599" t="s">
        <v>719</v>
      </c>
    </row>
    <row r="42" spans="1:1">
      <c r="A42" s="599" t="s">
        <v>150</v>
      </c>
    </row>
    <row r="43" spans="1:1">
      <c r="A43" s="599" t="s">
        <v>301</v>
      </c>
    </row>
    <row r="44" spans="1:1" ht="3.75" customHeight="1"/>
    <row r="45" spans="1:1" s="605" customFormat="1" ht="22.5">
      <c r="A45" s="604" t="s">
        <v>151</v>
      </c>
    </row>
    <row r="46" spans="1:1">
      <c r="A46" s="599" t="s">
        <v>720</v>
      </c>
    </row>
    <row r="47" spans="1:1">
      <c r="A47" s="599" t="s">
        <v>721</v>
      </c>
    </row>
    <row r="48" spans="1:1">
      <c r="A48" s="599" t="s">
        <v>722</v>
      </c>
    </row>
    <row r="49" spans="1:1">
      <c r="A49" s="599" t="s">
        <v>152</v>
      </c>
    </row>
    <row r="50" spans="1:1">
      <c r="A50" s="599" t="s">
        <v>153</v>
      </c>
    </row>
    <row r="51" spans="1:1">
      <c r="A51" s="599" t="s">
        <v>154</v>
      </c>
    </row>
    <row r="52" spans="1:1" ht="5.25" customHeight="1"/>
    <row r="53" spans="1:1" s="605" customFormat="1" ht="22.5">
      <c r="A53" s="604" t="s">
        <v>155</v>
      </c>
    </row>
    <row r="54" spans="1:1">
      <c r="A54" s="599" t="s">
        <v>723</v>
      </c>
    </row>
    <row r="55" spans="1:1" ht="22.5" customHeight="1">
      <c r="A55" s="600" t="s">
        <v>156</v>
      </c>
    </row>
    <row r="56" spans="1:1">
      <c r="A56" s="599" t="s">
        <v>724</v>
      </c>
    </row>
    <row r="57" spans="1:1" ht="5.25" customHeight="1"/>
    <row r="58" spans="1:1" s="605" customFormat="1" ht="22.5">
      <c r="A58" s="604" t="s">
        <v>157</v>
      </c>
    </row>
    <row r="59" spans="1:1">
      <c r="A59" s="599" t="s">
        <v>725</v>
      </c>
    </row>
    <row r="60" spans="1:1">
      <c r="A60" s="599" t="s">
        <v>726</v>
      </c>
    </row>
    <row r="61" spans="1:1">
      <c r="A61" s="599" t="s">
        <v>727</v>
      </c>
    </row>
    <row r="62" spans="1:1">
      <c r="A62" s="599" t="s">
        <v>728</v>
      </c>
    </row>
    <row r="63" spans="1:1" ht="5.25" customHeight="1"/>
    <row r="64" spans="1:1" s="605" customFormat="1" ht="22.5">
      <c r="A64" s="605" t="s">
        <v>693</v>
      </c>
    </row>
    <row r="65" spans="1:1">
      <c r="A65" s="599" t="s">
        <v>162</v>
      </c>
    </row>
    <row r="66" spans="1:1" ht="8.25" customHeight="1">
      <c r="A66" s="599"/>
    </row>
    <row r="67" spans="1:1" s="605" customFormat="1" ht="22.5">
      <c r="A67" s="604" t="s">
        <v>163</v>
      </c>
    </row>
    <row r="68" spans="1:1">
      <c r="A68" s="599" t="s">
        <v>166</v>
      </c>
    </row>
    <row r="69" spans="1:1">
      <c r="A69" s="601" t="s">
        <v>165</v>
      </c>
    </row>
    <row r="70" spans="1:1">
      <c r="A70" s="601" t="s">
        <v>164</v>
      </c>
    </row>
    <row r="71" spans="1:1">
      <c r="A71" s="601" t="s">
        <v>881</v>
      </c>
    </row>
    <row r="72" spans="1:1" ht="6.75" customHeight="1"/>
    <row r="73" spans="1:1" ht="26.25">
      <c r="A73" s="603" t="s">
        <v>756</v>
      </c>
    </row>
    <row r="74" spans="1:1">
      <c r="A74" s="599" t="s">
        <v>1136</v>
      </c>
    </row>
    <row r="75" spans="1:1" ht="6" customHeight="1"/>
    <row r="76" spans="1:1" s="598" customFormat="1" ht="26.25">
      <c r="A76" s="603" t="s">
        <v>158</v>
      </c>
    </row>
    <row r="77" spans="1:1">
      <c r="A77" s="599" t="s">
        <v>729</v>
      </c>
    </row>
    <row r="78" spans="1:1">
      <c r="A78" s="599" t="s">
        <v>159</v>
      </c>
    </row>
    <row r="79" spans="1:1">
      <c r="A79" s="599" t="s">
        <v>545</v>
      </c>
    </row>
    <row r="80" spans="1:1">
      <c r="A80" s="599" t="s">
        <v>546</v>
      </c>
    </row>
    <row r="81" spans="1:1">
      <c r="A81" s="599" t="s">
        <v>547</v>
      </c>
    </row>
    <row r="82" spans="1:1">
      <c r="A82" s="599" t="s">
        <v>557</v>
      </c>
    </row>
    <row r="83" spans="1:1">
      <c r="A83" s="599" t="s">
        <v>558</v>
      </c>
    </row>
    <row r="84" spans="1:1">
      <c r="A84" s="599" t="s">
        <v>559</v>
      </c>
    </row>
    <row r="85" spans="1:1">
      <c r="A85" s="599" t="s">
        <v>169</v>
      </c>
    </row>
    <row r="86" spans="1:1">
      <c r="A86" s="599" t="s">
        <v>260</v>
      </c>
    </row>
    <row r="87" spans="1:1">
      <c r="A87" s="599" t="s">
        <v>0</v>
      </c>
    </row>
    <row r="88" spans="1:1">
      <c r="A88" s="599" t="s">
        <v>1</v>
      </c>
    </row>
    <row r="89" spans="1:1">
      <c r="A89" s="597" t="s">
        <v>170</v>
      </c>
    </row>
    <row r="90" spans="1:1">
      <c r="A90" s="599" t="s">
        <v>171</v>
      </c>
    </row>
    <row r="91" spans="1:1">
      <c r="A91" s="599" t="s">
        <v>755</v>
      </c>
    </row>
    <row r="92" spans="1:1">
      <c r="A92" s="599" t="s">
        <v>784</v>
      </c>
    </row>
    <row r="93" spans="1:1">
      <c r="A93" s="599" t="s">
        <v>785</v>
      </c>
    </row>
    <row r="94" spans="1:1">
      <c r="A94" s="597" t="s">
        <v>814</v>
      </c>
    </row>
    <row r="95" spans="1:1" ht="22.5" customHeight="1">
      <c r="A95" s="599" t="s">
        <v>815</v>
      </c>
    </row>
    <row r="96" spans="1:1" ht="6.75" customHeight="1"/>
    <row r="97" spans="1:1" s="598" customFormat="1" ht="26.25">
      <c r="A97" s="603" t="s">
        <v>730</v>
      </c>
    </row>
    <row r="98" spans="1:1">
      <c r="A98" s="599" t="s">
        <v>731</v>
      </c>
    </row>
    <row r="99" spans="1:1">
      <c r="A99" s="599" t="s">
        <v>257</v>
      </c>
    </row>
    <row r="100" spans="1:1">
      <c r="A100" s="599" t="s">
        <v>258</v>
      </c>
    </row>
    <row r="101" spans="1:1">
      <c r="A101" s="599" t="s">
        <v>259</v>
      </c>
    </row>
    <row r="102" spans="1:1">
      <c r="A102" s="599" t="s">
        <v>167</v>
      </c>
    </row>
    <row r="103" spans="1:1">
      <c r="A103" s="599" t="s">
        <v>168</v>
      </c>
    </row>
  </sheetData>
  <phoneticPr fontId="5" type="noConversion"/>
  <pageMargins left="0.74803149606299213" right="0.74803149606299213" top="0.78740157480314965" bottom="0.39370078740157483" header="0.51181102362204722" footer="0.31496062992125984"/>
  <pageSetup paperSize="9" firstPageNumber="15" orientation="portrait" useFirstPageNumber="1" r:id="rId1"/>
  <headerFooter alignWithMargins="0">
    <oddFooter>&amp;L&amp;"Browallia New,Regular"&amp;14ภาคผนวก รายงานการประเมินตนเอง ปีการศึกษา 2552 : หลักสูตร&amp;R&amp;"Browallia New,Regular"&amp;14annex &amp;P</oddFooter>
  </headerFooter>
  <rowBreaks count="2" manualBreakCount="2">
    <brk id="36" max="16383" man="1"/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P44"/>
  <sheetViews>
    <sheetView view="pageBreakPreview" zoomScale="110" zoomScaleNormal="100" zoomScaleSheetLayoutView="110" workbookViewId="0">
      <pane xSplit="1" ySplit="3" topLeftCell="F4" activePane="bottomRight" state="frozen"/>
      <selection pane="topRight" activeCell="B1" sqref="B1"/>
      <selection pane="bottomLeft" activeCell="A4" sqref="A4"/>
      <selection pane="bottomRight"/>
    </sheetView>
  </sheetViews>
  <sheetFormatPr defaultColWidth="15.7109375" defaultRowHeight="15.95" customHeight="1"/>
  <cols>
    <col min="1" max="1" width="24.85546875" style="722" customWidth="1"/>
    <col min="2" max="13" width="9.7109375" style="728" customWidth="1"/>
    <col min="14" max="14" width="12.7109375" style="711" customWidth="1"/>
    <col min="15" max="253" width="15.7109375" style="1"/>
    <col min="254" max="254" width="24.85546875" style="1" customWidth="1"/>
    <col min="255" max="268" width="9.7109375" style="1" customWidth="1"/>
    <col min="269" max="509" width="15.7109375" style="1"/>
    <col min="510" max="510" width="24.85546875" style="1" customWidth="1"/>
    <col min="511" max="524" width="9.7109375" style="1" customWidth="1"/>
    <col min="525" max="765" width="15.7109375" style="1"/>
    <col min="766" max="766" width="24.85546875" style="1" customWidth="1"/>
    <col min="767" max="780" width="9.7109375" style="1" customWidth="1"/>
    <col min="781" max="1021" width="15.7109375" style="1"/>
    <col min="1022" max="1022" width="24.85546875" style="1" customWidth="1"/>
    <col min="1023" max="1036" width="9.7109375" style="1" customWidth="1"/>
    <col min="1037" max="1277" width="15.7109375" style="1"/>
    <col min="1278" max="1278" width="24.85546875" style="1" customWidth="1"/>
    <col min="1279" max="1292" width="9.7109375" style="1" customWidth="1"/>
    <col min="1293" max="1533" width="15.7109375" style="1"/>
    <col min="1534" max="1534" width="24.85546875" style="1" customWidth="1"/>
    <col min="1535" max="1548" width="9.7109375" style="1" customWidth="1"/>
    <col min="1549" max="1789" width="15.7109375" style="1"/>
    <col min="1790" max="1790" width="24.85546875" style="1" customWidth="1"/>
    <col min="1791" max="1804" width="9.7109375" style="1" customWidth="1"/>
    <col min="1805" max="2045" width="15.7109375" style="1"/>
    <col min="2046" max="2046" width="24.85546875" style="1" customWidth="1"/>
    <col min="2047" max="2060" width="9.7109375" style="1" customWidth="1"/>
    <col min="2061" max="2301" width="15.7109375" style="1"/>
    <col min="2302" max="2302" width="24.85546875" style="1" customWidth="1"/>
    <col min="2303" max="2316" width="9.7109375" style="1" customWidth="1"/>
    <col min="2317" max="2557" width="15.7109375" style="1"/>
    <col min="2558" max="2558" width="24.85546875" style="1" customWidth="1"/>
    <col min="2559" max="2572" width="9.7109375" style="1" customWidth="1"/>
    <col min="2573" max="2813" width="15.7109375" style="1"/>
    <col min="2814" max="2814" width="24.85546875" style="1" customWidth="1"/>
    <col min="2815" max="2828" width="9.7109375" style="1" customWidth="1"/>
    <col min="2829" max="3069" width="15.7109375" style="1"/>
    <col min="3070" max="3070" width="24.85546875" style="1" customWidth="1"/>
    <col min="3071" max="3084" width="9.7109375" style="1" customWidth="1"/>
    <col min="3085" max="3325" width="15.7109375" style="1"/>
    <col min="3326" max="3326" width="24.85546875" style="1" customWidth="1"/>
    <col min="3327" max="3340" width="9.7109375" style="1" customWidth="1"/>
    <col min="3341" max="3581" width="15.7109375" style="1"/>
    <col min="3582" max="3582" width="24.85546875" style="1" customWidth="1"/>
    <col min="3583" max="3596" width="9.7109375" style="1" customWidth="1"/>
    <col min="3597" max="3837" width="15.7109375" style="1"/>
    <col min="3838" max="3838" width="24.85546875" style="1" customWidth="1"/>
    <col min="3839" max="3852" width="9.7109375" style="1" customWidth="1"/>
    <col min="3853" max="4093" width="15.7109375" style="1"/>
    <col min="4094" max="4094" width="24.85546875" style="1" customWidth="1"/>
    <col min="4095" max="4108" width="9.7109375" style="1" customWidth="1"/>
    <col min="4109" max="4349" width="15.7109375" style="1"/>
    <col min="4350" max="4350" width="24.85546875" style="1" customWidth="1"/>
    <col min="4351" max="4364" width="9.7109375" style="1" customWidth="1"/>
    <col min="4365" max="4605" width="15.7109375" style="1"/>
    <col min="4606" max="4606" width="24.85546875" style="1" customWidth="1"/>
    <col min="4607" max="4620" width="9.7109375" style="1" customWidth="1"/>
    <col min="4621" max="4861" width="15.7109375" style="1"/>
    <col min="4862" max="4862" width="24.85546875" style="1" customWidth="1"/>
    <col min="4863" max="4876" width="9.7109375" style="1" customWidth="1"/>
    <col min="4877" max="5117" width="15.7109375" style="1"/>
    <col min="5118" max="5118" width="24.85546875" style="1" customWidth="1"/>
    <col min="5119" max="5132" width="9.7109375" style="1" customWidth="1"/>
    <col min="5133" max="5373" width="15.7109375" style="1"/>
    <col min="5374" max="5374" width="24.85546875" style="1" customWidth="1"/>
    <col min="5375" max="5388" width="9.7109375" style="1" customWidth="1"/>
    <col min="5389" max="5629" width="15.7109375" style="1"/>
    <col min="5630" max="5630" width="24.85546875" style="1" customWidth="1"/>
    <col min="5631" max="5644" width="9.7109375" style="1" customWidth="1"/>
    <col min="5645" max="5885" width="15.7109375" style="1"/>
    <col min="5886" max="5886" width="24.85546875" style="1" customWidth="1"/>
    <col min="5887" max="5900" width="9.7109375" style="1" customWidth="1"/>
    <col min="5901" max="6141" width="15.7109375" style="1"/>
    <col min="6142" max="6142" width="24.85546875" style="1" customWidth="1"/>
    <col min="6143" max="6156" width="9.7109375" style="1" customWidth="1"/>
    <col min="6157" max="6397" width="15.7109375" style="1"/>
    <col min="6398" max="6398" width="24.85546875" style="1" customWidth="1"/>
    <col min="6399" max="6412" width="9.7109375" style="1" customWidth="1"/>
    <col min="6413" max="6653" width="15.7109375" style="1"/>
    <col min="6654" max="6654" width="24.85546875" style="1" customWidth="1"/>
    <col min="6655" max="6668" width="9.7109375" style="1" customWidth="1"/>
    <col min="6669" max="6909" width="15.7109375" style="1"/>
    <col min="6910" max="6910" width="24.85546875" style="1" customWidth="1"/>
    <col min="6911" max="6924" width="9.7109375" style="1" customWidth="1"/>
    <col min="6925" max="7165" width="15.7109375" style="1"/>
    <col min="7166" max="7166" width="24.85546875" style="1" customWidth="1"/>
    <col min="7167" max="7180" width="9.7109375" style="1" customWidth="1"/>
    <col min="7181" max="7421" width="15.7109375" style="1"/>
    <col min="7422" max="7422" width="24.85546875" style="1" customWidth="1"/>
    <col min="7423" max="7436" width="9.7109375" style="1" customWidth="1"/>
    <col min="7437" max="7677" width="15.7109375" style="1"/>
    <col min="7678" max="7678" width="24.85546875" style="1" customWidth="1"/>
    <col min="7679" max="7692" width="9.7109375" style="1" customWidth="1"/>
    <col min="7693" max="7933" width="15.7109375" style="1"/>
    <col min="7934" max="7934" width="24.85546875" style="1" customWidth="1"/>
    <col min="7935" max="7948" width="9.7109375" style="1" customWidth="1"/>
    <col min="7949" max="8189" width="15.7109375" style="1"/>
    <col min="8190" max="8190" width="24.85546875" style="1" customWidth="1"/>
    <col min="8191" max="8204" width="9.7109375" style="1" customWidth="1"/>
    <col min="8205" max="8445" width="15.7109375" style="1"/>
    <col min="8446" max="8446" width="24.85546875" style="1" customWidth="1"/>
    <col min="8447" max="8460" width="9.7109375" style="1" customWidth="1"/>
    <col min="8461" max="8701" width="15.7109375" style="1"/>
    <col min="8702" max="8702" width="24.85546875" style="1" customWidth="1"/>
    <col min="8703" max="8716" width="9.7109375" style="1" customWidth="1"/>
    <col min="8717" max="8957" width="15.7109375" style="1"/>
    <col min="8958" max="8958" width="24.85546875" style="1" customWidth="1"/>
    <col min="8959" max="8972" width="9.7109375" style="1" customWidth="1"/>
    <col min="8973" max="9213" width="15.7109375" style="1"/>
    <col min="9214" max="9214" width="24.85546875" style="1" customWidth="1"/>
    <col min="9215" max="9228" width="9.7109375" style="1" customWidth="1"/>
    <col min="9229" max="9469" width="15.7109375" style="1"/>
    <col min="9470" max="9470" width="24.85546875" style="1" customWidth="1"/>
    <col min="9471" max="9484" width="9.7109375" style="1" customWidth="1"/>
    <col min="9485" max="9725" width="15.7109375" style="1"/>
    <col min="9726" max="9726" width="24.85546875" style="1" customWidth="1"/>
    <col min="9727" max="9740" width="9.7109375" style="1" customWidth="1"/>
    <col min="9741" max="9981" width="15.7109375" style="1"/>
    <col min="9982" max="9982" width="24.85546875" style="1" customWidth="1"/>
    <col min="9983" max="9996" width="9.7109375" style="1" customWidth="1"/>
    <col min="9997" max="10237" width="15.7109375" style="1"/>
    <col min="10238" max="10238" width="24.85546875" style="1" customWidth="1"/>
    <col min="10239" max="10252" width="9.7109375" style="1" customWidth="1"/>
    <col min="10253" max="10493" width="15.7109375" style="1"/>
    <col min="10494" max="10494" width="24.85546875" style="1" customWidth="1"/>
    <col min="10495" max="10508" width="9.7109375" style="1" customWidth="1"/>
    <col min="10509" max="10749" width="15.7109375" style="1"/>
    <col min="10750" max="10750" width="24.85546875" style="1" customWidth="1"/>
    <col min="10751" max="10764" width="9.7109375" style="1" customWidth="1"/>
    <col min="10765" max="11005" width="15.7109375" style="1"/>
    <col min="11006" max="11006" width="24.85546875" style="1" customWidth="1"/>
    <col min="11007" max="11020" width="9.7109375" style="1" customWidth="1"/>
    <col min="11021" max="11261" width="15.7109375" style="1"/>
    <col min="11262" max="11262" width="24.85546875" style="1" customWidth="1"/>
    <col min="11263" max="11276" width="9.7109375" style="1" customWidth="1"/>
    <col min="11277" max="11517" width="15.7109375" style="1"/>
    <col min="11518" max="11518" width="24.85546875" style="1" customWidth="1"/>
    <col min="11519" max="11532" width="9.7109375" style="1" customWidth="1"/>
    <col min="11533" max="11773" width="15.7109375" style="1"/>
    <col min="11774" max="11774" width="24.85546875" style="1" customWidth="1"/>
    <col min="11775" max="11788" width="9.7109375" style="1" customWidth="1"/>
    <col min="11789" max="12029" width="15.7109375" style="1"/>
    <col min="12030" max="12030" width="24.85546875" style="1" customWidth="1"/>
    <col min="12031" max="12044" width="9.7109375" style="1" customWidth="1"/>
    <col min="12045" max="12285" width="15.7109375" style="1"/>
    <col min="12286" max="12286" width="24.85546875" style="1" customWidth="1"/>
    <col min="12287" max="12300" width="9.7109375" style="1" customWidth="1"/>
    <col min="12301" max="12541" width="15.7109375" style="1"/>
    <col min="12542" max="12542" width="24.85546875" style="1" customWidth="1"/>
    <col min="12543" max="12556" width="9.7109375" style="1" customWidth="1"/>
    <col min="12557" max="12797" width="15.7109375" style="1"/>
    <col min="12798" max="12798" width="24.85546875" style="1" customWidth="1"/>
    <col min="12799" max="12812" width="9.7109375" style="1" customWidth="1"/>
    <col min="12813" max="13053" width="15.7109375" style="1"/>
    <col min="13054" max="13054" width="24.85546875" style="1" customWidth="1"/>
    <col min="13055" max="13068" width="9.7109375" style="1" customWidth="1"/>
    <col min="13069" max="13309" width="15.7109375" style="1"/>
    <col min="13310" max="13310" width="24.85546875" style="1" customWidth="1"/>
    <col min="13311" max="13324" width="9.7109375" style="1" customWidth="1"/>
    <col min="13325" max="13565" width="15.7109375" style="1"/>
    <col min="13566" max="13566" width="24.85546875" style="1" customWidth="1"/>
    <col min="13567" max="13580" width="9.7109375" style="1" customWidth="1"/>
    <col min="13581" max="13821" width="15.7109375" style="1"/>
    <col min="13822" max="13822" width="24.85546875" style="1" customWidth="1"/>
    <col min="13823" max="13836" width="9.7109375" style="1" customWidth="1"/>
    <col min="13837" max="14077" width="15.7109375" style="1"/>
    <col min="14078" max="14078" width="24.85546875" style="1" customWidth="1"/>
    <col min="14079" max="14092" width="9.7109375" style="1" customWidth="1"/>
    <col min="14093" max="14333" width="15.7109375" style="1"/>
    <col min="14334" max="14334" width="24.85546875" style="1" customWidth="1"/>
    <col min="14335" max="14348" width="9.7109375" style="1" customWidth="1"/>
    <col min="14349" max="14589" width="15.7109375" style="1"/>
    <col min="14590" max="14590" width="24.85546875" style="1" customWidth="1"/>
    <col min="14591" max="14604" width="9.7109375" style="1" customWidth="1"/>
    <col min="14605" max="14845" width="15.7109375" style="1"/>
    <col min="14846" max="14846" width="24.85546875" style="1" customWidth="1"/>
    <col min="14847" max="14860" width="9.7109375" style="1" customWidth="1"/>
    <col min="14861" max="15101" width="15.7109375" style="1"/>
    <col min="15102" max="15102" width="24.85546875" style="1" customWidth="1"/>
    <col min="15103" max="15116" width="9.7109375" style="1" customWidth="1"/>
    <col min="15117" max="15357" width="15.7109375" style="1"/>
    <col min="15358" max="15358" width="24.85546875" style="1" customWidth="1"/>
    <col min="15359" max="15372" width="9.7109375" style="1" customWidth="1"/>
    <col min="15373" max="15613" width="15.7109375" style="1"/>
    <col min="15614" max="15614" width="24.85546875" style="1" customWidth="1"/>
    <col min="15615" max="15628" width="9.7109375" style="1" customWidth="1"/>
    <col min="15629" max="15869" width="15.7109375" style="1"/>
    <col min="15870" max="15870" width="24.85546875" style="1" customWidth="1"/>
    <col min="15871" max="15884" width="9.7109375" style="1" customWidth="1"/>
    <col min="15885" max="16125" width="15.7109375" style="1"/>
    <col min="16126" max="16126" width="24.85546875" style="1" customWidth="1"/>
    <col min="16127" max="16140" width="9.7109375" style="1" customWidth="1"/>
    <col min="16141" max="16384" width="15.7109375" style="1"/>
  </cols>
  <sheetData>
    <row r="1" spans="1:14" s="2" customFormat="1" ht="24" customHeight="1">
      <c r="A1" s="938" t="s">
        <v>1137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11"/>
    </row>
    <row r="2" spans="1:14" ht="21.75" customHeight="1">
      <c r="A2" s="1132" t="s">
        <v>137</v>
      </c>
      <c r="B2" s="1134" t="s">
        <v>855</v>
      </c>
      <c r="C2" s="1134" t="s">
        <v>443</v>
      </c>
      <c r="D2" s="1134" t="s">
        <v>856</v>
      </c>
      <c r="E2" s="1134" t="s">
        <v>445</v>
      </c>
      <c r="F2" s="1134" t="s">
        <v>446</v>
      </c>
      <c r="G2" s="1134" t="s">
        <v>447</v>
      </c>
      <c r="H2" s="1134" t="s">
        <v>448</v>
      </c>
      <c r="I2" s="1140" t="s">
        <v>450</v>
      </c>
      <c r="J2" s="1140" t="s">
        <v>449</v>
      </c>
      <c r="K2" s="1134" t="s">
        <v>451</v>
      </c>
      <c r="L2" s="1142" t="s">
        <v>454</v>
      </c>
      <c r="M2" s="1136" t="s">
        <v>453</v>
      </c>
      <c r="N2" s="1138" t="s">
        <v>857</v>
      </c>
    </row>
    <row r="3" spans="1:14" ht="33.75" customHeight="1">
      <c r="A3" s="1133"/>
      <c r="B3" s="1135"/>
      <c r="C3" s="1135"/>
      <c r="D3" s="1135"/>
      <c r="E3" s="1135"/>
      <c r="F3" s="1135"/>
      <c r="G3" s="1135"/>
      <c r="H3" s="1135"/>
      <c r="I3" s="1141"/>
      <c r="J3" s="1141"/>
      <c r="K3" s="1135"/>
      <c r="L3" s="1143"/>
      <c r="M3" s="1137"/>
      <c r="N3" s="1139"/>
    </row>
    <row r="4" spans="1:14" s="712" customFormat="1" ht="66">
      <c r="A4" s="743" t="s">
        <v>860</v>
      </c>
      <c r="B4" s="724">
        <v>3</v>
      </c>
      <c r="C4" s="724">
        <v>3</v>
      </c>
      <c r="D4" s="724">
        <v>2</v>
      </c>
      <c r="E4" s="724">
        <v>3</v>
      </c>
      <c r="F4" s="724">
        <v>3</v>
      </c>
      <c r="G4" s="724">
        <v>2</v>
      </c>
      <c r="H4" s="724">
        <v>3</v>
      </c>
      <c r="I4" s="724">
        <v>3</v>
      </c>
      <c r="J4" s="724">
        <v>3</v>
      </c>
      <c r="K4" s="724">
        <v>3</v>
      </c>
      <c r="L4" s="724">
        <v>3</v>
      </c>
      <c r="M4" s="744">
        <v>3</v>
      </c>
      <c r="N4" s="768">
        <v>3</v>
      </c>
    </row>
    <row r="5" spans="1:14" s="712" customFormat="1" ht="63.75">
      <c r="A5" s="713" t="s">
        <v>816</v>
      </c>
      <c r="B5" s="724">
        <v>3</v>
      </c>
      <c r="C5" s="724">
        <v>3</v>
      </c>
      <c r="D5" s="724">
        <v>2</v>
      </c>
      <c r="E5" s="724">
        <v>3</v>
      </c>
      <c r="F5" s="724">
        <v>3</v>
      </c>
      <c r="G5" s="724">
        <v>2</v>
      </c>
      <c r="H5" s="724">
        <v>3</v>
      </c>
      <c r="I5" s="724">
        <v>2</v>
      </c>
      <c r="J5" s="724">
        <v>3</v>
      </c>
      <c r="K5" s="724">
        <v>3</v>
      </c>
      <c r="L5" s="724">
        <v>3</v>
      </c>
      <c r="M5" s="744">
        <v>2</v>
      </c>
      <c r="N5" s="767">
        <v>2</v>
      </c>
    </row>
    <row r="6" spans="1:14" s="712" customFormat="1" ht="43.5">
      <c r="A6" s="713" t="s">
        <v>817</v>
      </c>
      <c r="B6" s="724">
        <v>2</v>
      </c>
      <c r="C6" s="724">
        <v>3</v>
      </c>
      <c r="D6" s="724">
        <v>3</v>
      </c>
      <c r="E6" s="724">
        <v>3</v>
      </c>
      <c r="F6" s="724">
        <v>3</v>
      </c>
      <c r="G6" s="724">
        <v>2</v>
      </c>
      <c r="H6" s="724">
        <v>3</v>
      </c>
      <c r="I6" s="724">
        <v>2</v>
      </c>
      <c r="J6" s="724">
        <v>3</v>
      </c>
      <c r="K6" s="724">
        <v>3</v>
      </c>
      <c r="L6" s="724">
        <v>3</v>
      </c>
      <c r="M6" s="744">
        <v>3</v>
      </c>
      <c r="N6" s="714">
        <v>2</v>
      </c>
    </row>
    <row r="7" spans="1:14" s="712" customFormat="1" ht="60.75" customHeight="1">
      <c r="A7" s="713" t="s">
        <v>818</v>
      </c>
      <c r="B7" s="724">
        <v>3</v>
      </c>
      <c r="C7" s="724">
        <v>3</v>
      </c>
      <c r="D7" s="724">
        <v>3</v>
      </c>
      <c r="E7" s="724">
        <v>3</v>
      </c>
      <c r="F7" s="724">
        <v>3</v>
      </c>
      <c r="G7" s="724">
        <v>3</v>
      </c>
      <c r="H7" s="724">
        <v>3</v>
      </c>
      <c r="I7" s="724">
        <v>3</v>
      </c>
      <c r="J7" s="724">
        <v>3</v>
      </c>
      <c r="K7" s="724">
        <v>3</v>
      </c>
      <c r="L7" s="724">
        <v>3</v>
      </c>
      <c r="M7" s="744">
        <v>1</v>
      </c>
      <c r="N7" s="714">
        <v>3</v>
      </c>
    </row>
    <row r="8" spans="1:14" s="712" customFormat="1" ht="63.75">
      <c r="A8" s="713" t="s">
        <v>819</v>
      </c>
      <c r="B8" s="724">
        <v>3</v>
      </c>
      <c r="C8" s="724">
        <v>3</v>
      </c>
      <c r="D8" s="724">
        <v>3</v>
      </c>
      <c r="E8" s="724">
        <v>3</v>
      </c>
      <c r="F8" s="724">
        <v>3</v>
      </c>
      <c r="G8" s="724">
        <v>3</v>
      </c>
      <c r="H8" s="724">
        <v>3</v>
      </c>
      <c r="I8" s="724">
        <v>3</v>
      </c>
      <c r="J8" s="724">
        <v>3</v>
      </c>
      <c r="K8" s="724">
        <v>3</v>
      </c>
      <c r="L8" s="724">
        <v>3</v>
      </c>
      <c r="M8" s="744">
        <v>3</v>
      </c>
      <c r="N8" s="714">
        <v>3</v>
      </c>
    </row>
    <row r="9" spans="1:14" s="712" customFormat="1" ht="41.25" customHeight="1">
      <c r="A9" s="715" t="s">
        <v>820</v>
      </c>
      <c r="B9" s="725">
        <v>1</v>
      </c>
      <c r="C9" s="725">
        <v>1</v>
      </c>
      <c r="D9" s="725">
        <v>1</v>
      </c>
      <c r="E9" s="725">
        <v>1</v>
      </c>
      <c r="F9" s="725">
        <v>1</v>
      </c>
      <c r="G9" s="725">
        <v>1</v>
      </c>
      <c r="H9" s="725" t="s">
        <v>821</v>
      </c>
      <c r="I9" s="725" t="s">
        <v>821</v>
      </c>
      <c r="J9" s="725">
        <v>1</v>
      </c>
      <c r="K9" s="725">
        <v>1</v>
      </c>
      <c r="L9" s="725">
        <v>1</v>
      </c>
      <c r="M9" s="745">
        <v>1</v>
      </c>
      <c r="N9" s="716">
        <v>0</v>
      </c>
    </row>
    <row r="10" spans="1:14" s="712" customFormat="1" ht="43.5">
      <c r="A10" s="715" t="s">
        <v>822</v>
      </c>
      <c r="B10" s="725">
        <v>1</v>
      </c>
      <c r="C10" s="725">
        <v>1</v>
      </c>
      <c r="D10" s="725">
        <v>1</v>
      </c>
      <c r="E10" s="725">
        <v>1</v>
      </c>
      <c r="F10" s="725">
        <v>3</v>
      </c>
      <c r="G10" s="725">
        <v>1</v>
      </c>
      <c r="H10" s="725">
        <v>3</v>
      </c>
      <c r="I10" s="725">
        <v>3</v>
      </c>
      <c r="J10" s="725">
        <v>1</v>
      </c>
      <c r="K10" s="725">
        <v>1</v>
      </c>
      <c r="L10" s="725">
        <v>1</v>
      </c>
      <c r="M10" s="745">
        <v>2</v>
      </c>
      <c r="N10" s="716">
        <v>1</v>
      </c>
    </row>
    <row r="11" spans="1:14" s="712" customFormat="1" ht="60" customHeight="1">
      <c r="A11" s="715" t="s">
        <v>854</v>
      </c>
      <c r="B11" s="725">
        <v>1</v>
      </c>
      <c r="C11" s="725">
        <v>1</v>
      </c>
      <c r="D11" s="725">
        <v>1</v>
      </c>
      <c r="E11" s="725">
        <v>1</v>
      </c>
      <c r="F11" s="725">
        <v>2</v>
      </c>
      <c r="G11" s="725">
        <v>1</v>
      </c>
      <c r="H11" s="725">
        <v>3</v>
      </c>
      <c r="I11" s="725">
        <v>1</v>
      </c>
      <c r="J11" s="725">
        <v>0</v>
      </c>
      <c r="K11" s="725">
        <v>1</v>
      </c>
      <c r="L11" s="725">
        <v>1</v>
      </c>
      <c r="M11" s="745">
        <v>1</v>
      </c>
      <c r="N11" s="716">
        <v>1</v>
      </c>
    </row>
    <row r="12" spans="1:14" ht="43.5">
      <c r="A12" s="715" t="s">
        <v>823</v>
      </c>
      <c r="B12" s="725">
        <v>3</v>
      </c>
      <c r="C12" s="725">
        <v>3</v>
      </c>
      <c r="D12" s="725">
        <v>3</v>
      </c>
      <c r="E12" s="725">
        <v>3</v>
      </c>
      <c r="F12" s="725">
        <v>3</v>
      </c>
      <c r="G12" s="725">
        <v>3</v>
      </c>
      <c r="H12" s="725">
        <v>3</v>
      </c>
      <c r="I12" s="725">
        <v>3</v>
      </c>
      <c r="J12" s="725">
        <v>3</v>
      </c>
      <c r="K12" s="725">
        <v>3</v>
      </c>
      <c r="L12" s="725">
        <v>3</v>
      </c>
      <c r="M12" s="745">
        <v>2</v>
      </c>
      <c r="N12" s="717">
        <v>3</v>
      </c>
    </row>
    <row r="13" spans="1:14" ht="45" customHeight="1">
      <c r="A13" s="715" t="s">
        <v>858</v>
      </c>
      <c r="B13" s="725">
        <v>2</v>
      </c>
      <c r="C13" s="725">
        <v>2</v>
      </c>
      <c r="D13" s="725">
        <v>2</v>
      </c>
      <c r="E13" s="725">
        <v>3</v>
      </c>
      <c r="F13" s="725">
        <v>2</v>
      </c>
      <c r="G13" s="725">
        <v>2</v>
      </c>
      <c r="H13" s="725">
        <v>2</v>
      </c>
      <c r="I13" s="725">
        <v>2</v>
      </c>
      <c r="J13" s="725">
        <v>3</v>
      </c>
      <c r="K13" s="725">
        <v>2</v>
      </c>
      <c r="L13" s="725">
        <v>2</v>
      </c>
      <c r="M13" s="745">
        <v>2</v>
      </c>
      <c r="N13" s="717">
        <v>3</v>
      </c>
    </row>
    <row r="14" spans="1:14" ht="42" customHeight="1">
      <c r="A14" s="715" t="s">
        <v>824</v>
      </c>
      <c r="B14" s="725">
        <v>3</v>
      </c>
      <c r="C14" s="725">
        <v>3</v>
      </c>
      <c r="D14" s="725">
        <v>2</v>
      </c>
      <c r="E14" s="725">
        <v>3</v>
      </c>
      <c r="F14" s="725">
        <v>2</v>
      </c>
      <c r="G14" s="725">
        <v>2</v>
      </c>
      <c r="H14" s="725" t="s">
        <v>821</v>
      </c>
      <c r="I14" s="725">
        <v>3</v>
      </c>
      <c r="J14" s="725">
        <v>3</v>
      </c>
      <c r="K14" s="725">
        <v>3</v>
      </c>
      <c r="L14" s="725">
        <v>3</v>
      </c>
      <c r="M14" s="745">
        <v>3</v>
      </c>
      <c r="N14" s="717">
        <v>3</v>
      </c>
    </row>
    <row r="15" spans="1:14" ht="44.25" customHeight="1">
      <c r="A15" s="715" t="s">
        <v>825</v>
      </c>
      <c r="B15" s="725">
        <v>2</v>
      </c>
      <c r="C15" s="725">
        <v>2</v>
      </c>
      <c r="D15" s="725">
        <v>2</v>
      </c>
      <c r="E15" s="725">
        <v>2</v>
      </c>
      <c r="F15" s="725">
        <v>2</v>
      </c>
      <c r="G15" s="725">
        <v>2</v>
      </c>
      <c r="H15" s="725" t="s">
        <v>821</v>
      </c>
      <c r="I15" s="725">
        <v>2</v>
      </c>
      <c r="J15" s="725">
        <v>2</v>
      </c>
      <c r="K15" s="725">
        <v>2</v>
      </c>
      <c r="L15" s="725">
        <v>2</v>
      </c>
      <c r="M15" s="745">
        <v>2</v>
      </c>
      <c r="N15" s="717">
        <v>2</v>
      </c>
    </row>
    <row r="16" spans="1:14" s="712" customFormat="1" ht="39.75" customHeight="1">
      <c r="A16" s="715" t="s">
        <v>826</v>
      </c>
      <c r="B16" s="725">
        <v>3</v>
      </c>
      <c r="C16" s="725">
        <v>3</v>
      </c>
      <c r="D16" s="725">
        <v>3</v>
      </c>
      <c r="E16" s="725">
        <v>3</v>
      </c>
      <c r="F16" s="725">
        <v>3</v>
      </c>
      <c r="G16" s="725">
        <v>3</v>
      </c>
      <c r="H16" s="725" t="s">
        <v>821</v>
      </c>
      <c r="I16" s="725">
        <v>3</v>
      </c>
      <c r="J16" s="725">
        <v>3</v>
      </c>
      <c r="K16" s="725">
        <v>3</v>
      </c>
      <c r="L16" s="725">
        <v>3</v>
      </c>
      <c r="M16" s="745">
        <v>3</v>
      </c>
      <c r="N16" s="717">
        <v>3</v>
      </c>
    </row>
    <row r="17" spans="1:14" ht="45" customHeight="1">
      <c r="A17" s="715" t="s">
        <v>827</v>
      </c>
      <c r="B17" s="725">
        <v>3</v>
      </c>
      <c r="C17" s="725">
        <v>3</v>
      </c>
      <c r="D17" s="725">
        <v>3</v>
      </c>
      <c r="E17" s="725">
        <v>3</v>
      </c>
      <c r="F17" s="725">
        <v>3</v>
      </c>
      <c r="G17" s="725">
        <v>3</v>
      </c>
      <c r="H17" s="725">
        <v>3</v>
      </c>
      <c r="I17" s="725">
        <v>3</v>
      </c>
      <c r="J17" s="725">
        <v>3</v>
      </c>
      <c r="K17" s="725">
        <v>3</v>
      </c>
      <c r="L17" s="725">
        <v>3</v>
      </c>
      <c r="M17" s="745">
        <v>3</v>
      </c>
      <c r="N17" s="717">
        <v>3</v>
      </c>
    </row>
    <row r="18" spans="1:14" ht="43.5">
      <c r="A18" s="715" t="s">
        <v>828</v>
      </c>
      <c r="B18" s="725">
        <v>2</v>
      </c>
      <c r="C18" s="725">
        <v>3</v>
      </c>
      <c r="D18" s="725">
        <v>2</v>
      </c>
      <c r="E18" s="725">
        <v>3</v>
      </c>
      <c r="F18" s="725">
        <v>3</v>
      </c>
      <c r="G18" s="725">
        <v>3</v>
      </c>
      <c r="H18" s="725">
        <v>3</v>
      </c>
      <c r="I18" s="725">
        <v>3</v>
      </c>
      <c r="J18" s="725">
        <v>3</v>
      </c>
      <c r="K18" s="725">
        <v>2</v>
      </c>
      <c r="L18" s="725">
        <v>3</v>
      </c>
      <c r="M18" s="745">
        <v>1</v>
      </c>
      <c r="N18" s="716">
        <v>3</v>
      </c>
    </row>
    <row r="19" spans="1:14" ht="43.5">
      <c r="A19" s="715" t="s">
        <v>829</v>
      </c>
      <c r="B19" s="725">
        <v>3</v>
      </c>
      <c r="C19" s="725">
        <v>3</v>
      </c>
      <c r="D19" s="725">
        <v>2</v>
      </c>
      <c r="E19" s="725">
        <v>3</v>
      </c>
      <c r="F19" s="725">
        <v>3</v>
      </c>
      <c r="G19" s="725">
        <v>3</v>
      </c>
      <c r="H19" s="725">
        <v>3</v>
      </c>
      <c r="I19" s="725">
        <v>3</v>
      </c>
      <c r="J19" s="725">
        <v>3</v>
      </c>
      <c r="K19" s="725">
        <v>3</v>
      </c>
      <c r="L19" s="725">
        <v>3</v>
      </c>
      <c r="M19" s="745">
        <v>3</v>
      </c>
      <c r="N19" s="716">
        <v>3</v>
      </c>
    </row>
    <row r="20" spans="1:14" ht="43.5">
      <c r="A20" s="713" t="s">
        <v>830</v>
      </c>
      <c r="B20" s="725" t="s">
        <v>821</v>
      </c>
      <c r="C20" s="725" t="s">
        <v>821</v>
      </c>
      <c r="D20" s="725" t="s">
        <v>821</v>
      </c>
      <c r="E20" s="725" t="s">
        <v>821</v>
      </c>
      <c r="F20" s="725" t="s">
        <v>821</v>
      </c>
      <c r="G20" s="725" t="s">
        <v>821</v>
      </c>
      <c r="H20" s="725" t="s">
        <v>821</v>
      </c>
      <c r="I20" s="725" t="s">
        <v>821</v>
      </c>
      <c r="J20" s="725" t="s">
        <v>821</v>
      </c>
      <c r="K20" s="725" t="s">
        <v>821</v>
      </c>
      <c r="L20" s="725" t="s">
        <v>821</v>
      </c>
      <c r="M20" s="745" t="s">
        <v>821</v>
      </c>
      <c r="N20" s="716">
        <v>3</v>
      </c>
    </row>
    <row r="21" spans="1:14" ht="60" customHeight="1">
      <c r="A21" s="713" t="s">
        <v>831</v>
      </c>
      <c r="B21" s="724">
        <v>3</v>
      </c>
      <c r="C21" s="724">
        <v>3</v>
      </c>
      <c r="D21" s="724">
        <v>2</v>
      </c>
      <c r="E21" s="724">
        <v>3</v>
      </c>
      <c r="F21" s="724">
        <v>1</v>
      </c>
      <c r="G21" s="724">
        <v>2</v>
      </c>
      <c r="H21" s="724">
        <v>1</v>
      </c>
      <c r="I21" s="724">
        <v>1</v>
      </c>
      <c r="J21" s="724">
        <v>1</v>
      </c>
      <c r="K21" s="724">
        <v>2</v>
      </c>
      <c r="L21" s="724">
        <v>3</v>
      </c>
      <c r="M21" s="744">
        <v>3</v>
      </c>
      <c r="N21" s="716">
        <v>3</v>
      </c>
    </row>
    <row r="22" spans="1:14" ht="43.5">
      <c r="A22" s="715" t="s">
        <v>832</v>
      </c>
      <c r="B22" s="725">
        <v>3</v>
      </c>
      <c r="C22" s="725">
        <v>1</v>
      </c>
      <c r="D22" s="725">
        <v>3</v>
      </c>
      <c r="E22" s="725">
        <v>1</v>
      </c>
      <c r="F22" s="725">
        <v>3</v>
      </c>
      <c r="G22" s="725">
        <v>3</v>
      </c>
      <c r="H22" s="725">
        <v>3</v>
      </c>
      <c r="I22" s="725">
        <v>1</v>
      </c>
      <c r="J22" s="725">
        <v>1</v>
      </c>
      <c r="K22" s="725">
        <v>1</v>
      </c>
      <c r="L22" s="725">
        <v>1</v>
      </c>
      <c r="M22" s="745">
        <v>3</v>
      </c>
      <c r="N22" s="716">
        <v>3</v>
      </c>
    </row>
    <row r="23" spans="1:14" ht="57.75" customHeight="1">
      <c r="A23" s="715" t="s">
        <v>833</v>
      </c>
      <c r="B23" s="725">
        <v>2</v>
      </c>
      <c r="C23" s="725">
        <v>1</v>
      </c>
      <c r="D23" s="725">
        <v>1</v>
      </c>
      <c r="E23" s="725">
        <v>1</v>
      </c>
      <c r="F23" s="725">
        <v>1</v>
      </c>
      <c r="G23" s="725">
        <v>1</v>
      </c>
      <c r="H23" s="725">
        <v>3</v>
      </c>
      <c r="I23" s="725">
        <v>2</v>
      </c>
      <c r="J23" s="725">
        <v>1</v>
      </c>
      <c r="K23" s="725">
        <v>3</v>
      </c>
      <c r="L23" s="725">
        <v>3</v>
      </c>
      <c r="M23" s="745">
        <v>3</v>
      </c>
      <c r="N23" s="716">
        <v>2</v>
      </c>
    </row>
    <row r="24" spans="1:14" ht="43.5">
      <c r="A24" s="715" t="s">
        <v>834</v>
      </c>
      <c r="B24" s="725">
        <v>2</v>
      </c>
      <c r="C24" s="725">
        <v>3</v>
      </c>
      <c r="D24" s="725">
        <v>1</v>
      </c>
      <c r="E24" s="725">
        <v>3</v>
      </c>
      <c r="F24" s="725">
        <v>2</v>
      </c>
      <c r="G24" s="725">
        <v>2</v>
      </c>
      <c r="H24" s="725">
        <v>3</v>
      </c>
      <c r="I24" s="725">
        <v>2</v>
      </c>
      <c r="J24" s="725">
        <v>2</v>
      </c>
      <c r="K24" s="725">
        <v>2</v>
      </c>
      <c r="L24" s="725">
        <v>3</v>
      </c>
      <c r="M24" s="745">
        <v>2</v>
      </c>
      <c r="N24" s="716">
        <v>3</v>
      </c>
    </row>
    <row r="25" spans="1:14" ht="46.5">
      <c r="A25" s="715" t="s">
        <v>835</v>
      </c>
      <c r="B25" s="725">
        <v>2</v>
      </c>
      <c r="C25" s="725">
        <v>3</v>
      </c>
      <c r="D25" s="725">
        <v>3</v>
      </c>
      <c r="E25" s="725">
        <v>2</v>
      </c>
      <c r="F25" s="725">
        <v>3</v>
      </c>
      <c r="G25" s="725">
        <v>3</v>
      </c>
      <c r="H25" s="725">
        <v>3</v>
      </c>
      <c r="I25" s="725">
        <v>3</v>
      </c>
      <c r="J25" s="725">
        <v>3</v>
      </c>
      <c r="K25" s="725">
        <v>1</v>
      </c>
      <c r="L25" s="725">
        <v>3</v>
      </c>
      <c r="M25" s="745">
        <v>3</v>
      </c>
      <c r="N25" s="716">
        <v>3</v>
      </c>
    </row>
    <row r="26" spans="1:14" ht="63" customHeight="1">
      <c r="A26" s="715" t="s">
        <v>836</v>
      </c>
      <c r="B26" s="725">
        <v>2</v>
      </c>
      <c r="C26" s="725">
        <v>3</v>
      </c>
      <c r="D26" s="725">
        <v>2</v>
      </c>
      <c r="E26" s="725">
        <v>2</v>
      </c>
      <c r="F26" s="725">
        <v>1</v>
      </c>
      <c r="G26" s="725">
        <v>1</v>
      </c>
      <c r="H26" s="725">
        <v>3</v>
      </c>
      <c r="I26" s="725">
        <v>2</v>
      </c>
      <c r="J26" s="725">
        <v>2</v>
      </c>
      <c r="K26" s="725">
        <v>2</v>
      </c>
      <c r="L26" s="725">
        <v>1</v>
      </c>
      <c r="M26" s="745">
        <v>2</v>
      </c>
      <c r="N26" s="714">
        <v>2</v>
      </c>
    </row>
    <row r="27" spans="1:14" ht="43.5">
      <c r="A27" s="715" t="s">
        <v>837</v>
      </c>
      <c r="B27" s="725">
        <v>3</v>
      </c>
      <c r="C27" s="725">
        <v>3</v>
      </c>
      <c r="D27" s="725">
        <v>3</v>
      </c>
      <c r="E27" s="725">
        <v>3</v>
      </c>
      <c r="F27" s="725">
        <v>3</v>
      </c>
      <c r="G27" s="725">
        <v>3</v>
      </c>
      <c r="H27" s="725">
        <v>3</v>
      </c>
      <c r="I27" s="725">
        <v>3</v>
      </c>
      <c r="J27" s="725">
        <v>3</v>
      </c>
      <c r="K27" s="725">
        <v>3</v>
      </c>
      <c r="L27" s="725">
        <v>3</v>
      </c>
      <c r="M27" s="745">
        <v>3</v>
      </c>
      <c r="N27" s="716">
        <v>3</v>
      </c>
    </row>
    <row r="28" spans="1:14" ht="43.5">
      <c r="A28" s="713" t="s">
        <v>838</v>
      </c>
      <c r="B28" s="725" t="s">
        <v>821</v>
      </c>
      <c r="C28" s="725" t="s">
        <v>821</v>
      </c>
      <c r="D28" s="725" t="s">
        <v>821</v>
      </c>
      <c r="E28" s="725" t="s">
        <v>821</v>
      </c>
      <c r="F28" s="725" t="s">
        <v>821</v>
      </c>
      <c r="G28" s="725" t="s">
        <v>821</v>
      </c>
      <c r="H28" s="725" t="s">
        <v>821</v>
      </c>
      <c r="I28" s="725" t="s">
        <v>821</v>
      </c>
      <c r="J28" s="725" t="s">
        <v>821</v>
      </c>
      <c r="K28" s="725" t="s">
        <v>821</v>
      </c>
      <c r="L28" s="725" t="s">
        <v>821</v>
      </c>
      <c r="M28" s="745" t="s">
        <v>821</v>
      </c>
      <c r="N28" s="716">
        <v>3</v>
      </c>
    </row>
    <row r="29" spans="1:14" ht="54.75" customHeight="1">
      <c r="A29" s="713" t="s">
        <v>839</v>
      </c>
      <c r="B29" s="724">
        <v>2</v>
      </c>
      <c r="C29" s="724">
        <v>3</v>
      </c>
      <c r="D29" s="724">
        <v>2</v>
      </c>
      <c r="E29" s="724">
        <v>3</v>
      </c>
      <c r="F29" s="724">
        <v>3</v>
      </c>
      <c r="G29" s="724">
        <v>2</v>
      </c>
      <c r="H29" s="724">
        <v>2</v>
      </c>
      <c r="I29" s="724">
        <v>2</v>
      </c>
      <c r="J29" s="724">
        <v>2</v>
      </c>
      <c r="K29" s="724">
        <v>3</v>
      </c>
      <c r="L29" s="724">
        <v>3</v>
      </c>
      <c r="M29" s="744">
        <v>2</v>
      </c>
      <c r="N29" s="716">
        <v>3</v>
      </c>
    </row>
    <row r="30" spans="1:14" ht="43.5">
      <c r="A30" s="713" t="s">
        <v>840</v>
      </c>
      <c r="B30" s="725" t="s">
        <v>821</v>
      </c>
      <c r="C30" s="725" t="s">
        <v>821</v>
      </c>
      <c r="D30" s="725" t="s">
        <v>821</v>
      </c>
      <c r="E30" s="725" t="s">
        <v>821</v>
      </c>
      <c r="F30" s="725" t="s">
        <v>821</v>
      </c>
      <c r="G30" s="725" t="s">
        <v>821</v>
      </c>
      <c r="H30" s="725" t="s">
        <v>821</v>
      </c>
      <c r="I30" s="725" t="s">
        <v>821</v>
      </c>
      <c r="J30" s="725" t="s">
        <v>821</v>
      </c>
      <c r="K30" s="725" t="s">
        <v>821</v>
      </c>
      <c r="L30" s="725" t="s">
        <v>821</v>
      </c>
      <c r="M30" s="745" t="s">
        <v>821</v>
      </c>
      <c r="N30" s="937">
        <v>2</v>
      </c>
    </row>
    <row r="31" spans="1:14" ht="43.5">
      <c r="A31" s="713" t="s">
        <v>841</v>
      </c>
      <c r="B31" s="725" t="s">
        <v>821</v>
      </c>
      <c r="C31" s="725" t="s">
        <v>821</v>
      </c>
      <c r="D31" s="725" t="s">
        <v>821</v>
      </c>
      <c r="E31" s="725" t="s">
        <v>821</v>
      </c>
      <c r="F31" s="725" t="s">
        <v>821</v>
      </c>
      <c r="G31" s="725" t="s">
        <v>821</v>
      </c>
      <c r="H31" s="725" t="s">
        <v>821</v>
      </c>
      <c r="I31" s="725" t="s">
        <v>821</v>
      </c>
      <c r="J31" s="725" t="s">
        <v>821</v>
      </c>
      <c r="K31" s="725" t="s">
        <v>821</v>
      </c>
      <c r="L31" s="725" t="s">
        <v>821</v>
      </c>
      <c r="M31" s="745" t="s">
        <v>821</v>
      </c>
      <c r="N31" s="937">
        <v>3</v>
      </c>
    </row>
    <row r="32" spans="1:14" ht="43.5">
      <c r="A32" s="715" t="s">
        <v>842</v>
      </c>
      <c r="B32" s="725">
        <v>2</v>
      </c>
      <c r="C32" s="725">
        <v>3</v>
      </c>
      <c r="D32" s="725">
        <v>3</v>
      </c>
      <c r="E32" s="725">
        <v>3</v>
      </c>
      <c r="F32" s="725">
        <v>2</v>
      </c>
      <c r="G32" s="725">
        <v>3</v>
      </c>
      <c r="H32" s="725">
        <v>0</v>
      </c>
      <c r="I32" s="725">
        <v>3</v>
      </c>
      <c r="J32" s="725">
        <v>3</v>
      </c>
      <c r="K32" s="725">
        <v>1</v>
      </c>
      <c r="L32" s="725">
        <v>3</v>
      </c>
      <c r="M32" s="745">
        <v>1</v>
      </c>
      <c r="N32" s="716">
        <v>3</v>
      </c>
    </row>
    <row r="33" spans="1:16" s="712" customFormat="1" ht="42">
      <c r="A33" s="715" t="s">
        <v>843</v>
      </c>
      <c r="B33" s="725">
        <v>3</v>
      </c>
      <c r="C33" s="725">
        <v>3</v>
      </c>
      <c r="D33" s="725">
        <v>3</v>
      </c>
      <c r="E33" s="725">
        <v>3</v>
      </c>
      <c r="F33" s="725">
        <v>3</v>
      </c>
      <c r="G33" s="725">
        <v>3</v>
      </c>
      <c r="H33" s="725">
        <v>3</v>
      </c>
      <c r="I33" s="725">
        <v>3</v>
      </c>
      <c r="J33" s="725">
        <v>3</v>
      </c>
      <c r="K33" s="725">
        <v>3</v>
      </c>
      <c r="L33" s="725">
        <v>3</v>
      </c>
      <c r="M33" s="745">
        <v>3</v>
      </c>
      <c r="N33" s="716">
        <v>3</v>
      </c>
    </row>
    <row r="34" spans="1:16" s="712" customFormat="1" ht="43.5">
      <c r="A34" s="715" t="s">
        <v>844</v>
      </c>
      <c r="B34" s="725" t="s">
        <v>821</v>
      </c>
      <c r="C34" s="725" t="s">
        <v>821</v>
      </c>
      <c r="D34" s="725" t="s">
        <v>821</v>
      </c>
      <c r="E34" s="725" t="s">
        <v>821</v>
      </c>
      <c r="F34" s="725" t="s">
        <v>821</v>
      </c>
      <c r="G34" s="725" t="s">
        <v>821</v>
      </c>
      <c r="H34" s="725" t="s">
        <v>821</v>
      </c>
      <c r="I34" s="725" t="s">
        <v>821</v>
      </c>
      <c r="J34" s="725" t="s">
        <v>821</v>
      </c>
      <c r="K34" s="725" t="s">
        <v>821</v>
      </c>
      <c r="L34" s="725" t="s">
        <v>821</v>
      </c>
      <c r="M34" s="745" t="s">
        <v>821</v>
      </c>
      <c r="N34" s="716">
        <v>3</v>
      </c>
    </row>
    <row r="35" spans="1:16" ht="46.5" customHeight="1">
      <c r="A35" s="715" t="s">
        <v>845</v>
      </c>
      <c r="B35" s="725">
        <v>3</v>
      </c>
      <c r="C35" s="725">
        <v>2</v>
      </c>
      <c r="D35" s="725">
        <v>3</v>
      </c>
      <c r="E35" s="725">
        <v>3</v>
      </c>
      <c r="F35" s="725">
        <v>2</v>
      </c>
      <c r="G35" s="725">
        <v>2</v>
      </c>
      <c r="H35" s="725">
        <v>3</v>
      </c>
      <c r="I35" s="725">
        <v>3</v>
      </c>
      <c r="J35" s="725">
        <v>2</v>
      </c>
      <c r="K35" s="725">
        <v>1</v>
      </c>
      <c r="L35" s="725">
        <v>3</v>
      </c>
      <c r="M35" s="745">
        <v>3</v>
      </c>
      <c r="N35" s="716">
        <v>3</v>
      </c>
    </row>
    <row r="36" spans="1:16" ht="60.75">
      <c r="A36" s="718" t="s">
        <v>846</v>
      </c>
      <c r="B36" s="726">
        <v>2</v>
      </c>
      <c r="C36" s="726">
        <v>0</v>
      </c>
      <c r="D36" s="726">
        <v>3</v>
      </c>
      <c r="E36" s="726">
        <v>0</v>
      </c>
      <c r="F36" s="726">
        <v>0</v>
      </c>
      <c r="G36" s="726">
        <v>3</v>
      </c>
      <c r="H36" s="726">
        <v>0</v>
      </c>
      <c r="I36" s="726">
        <v>0</v>
      </c>
      <c r="J36" s="726">
        <v>0</v>
      </c>
      <c r="K36" s="726">
        <v>3</v>
      </c>
      <c r="L36" s="726">
        <v>0</v>
      </c>
      <c r="M36" s="746">
        <v>0</v>
      </c>
      <c r="N36" s="714">
        <v>1</v>
      </c>
    </row>
    <row r="37" spans="1:16" ht="43.5">
      <c r="A37" s="715" t="s">
        <v>847</v>
      </c>
      <c r="B37" s="725">
        <v>3</v>
      </c>
      <c r="C37" s="725">
        <v>3</v>
      </c>
      <c r="D37" s="725">
        <v>3</v>
      </c>
      <c r="E37" s="725">
        <v>3</v>
      </c>
      <c r="F37" s="725">
        <v>3</v>
      </c>
      <c r="G37" s="725">
        <v>3</v>
      </c>
      <c r="H37" s="725">
        <v>3</v>
      </c>
      <c r="I37" s="725">
        <v>2</v>
      </c>
      <c r="J37" s="725">
        <v>2</v>
      </c>
      <c r="K37" s="725">
        <v>1</v>
      </c>
      <c r="L37" s="725">
        <v>2</v>
      </c>
      <c r="M37" s="745">
        <v>1</v>
      </c>
      <c r="N37" s="714">
        <v>3</v>
      </c>
    </row>
    <row r="38" spans="1:16" ht="43.5">
      <c r="A38" s="715" t="s">
        <v>848</v>
      </c>
      <c r="B38" s="725">
        <v>3</v>
      </c>
      <c r="C38" s="725">
        <v>3</v>
      </c>
      <c r="D38" s="725">
        <v>3</v>
      </c>
      <c r="E38" s="725">
        <v>3</v>
      </c>
      <c r="F38" s="725">
        <v>2</v>
      </c>
      <c r="G38" s="725">
        <v>3</v>
      </c>
      <c r="H38" s="725">
        <v>3</v>
      </c>
      <c r="I38" s="725">
        <v>3</v>
      </c>
      <c r="J38" s="725">
        <v>3</v>
      </c>
      <c r="K38" s="725">
        <v>2</v>
      </c>
      <c r="L38" s="725">
        <v>3</v>
      </c>
      <c r="M38" s="745">
        <v>3</v>
      </c>
      <c r="N38" s="714">
        <v>3</v>
      </c>
    </row>
    <row r="39" spans="1:16" s="712" customFormat="1" ht="42" customHeight="1">
      <c r="A39" s="715" t="s">
        <v>849</v>
      </c>
      <c r="B39" s="725" t="s">
        <v>821</v>
      </c>
      <c r="C39" s="725" t="s">
        <v>821</v>
      </c>
      <c r="D39" s="725" t="s">
        <v>821</v>
      </c>
      <c r="E39" s="725" t="s">
        <v>821</v>
      </c>
      <c r="F39" s="725" t="s">
        <v>821</v>
      </c>
      <c r="G39" s="725" t="s">
        <v>821</v>
      </c>
      <c r="H39" s="725" t="s">
        <v>821</v>
      </c>
      <c r="I39" s="725" t="s">
        <v>821</v>
      </c>
      <c r="J39" s="725" t="s">
        <v>821</v>
      </c>
      <c r="K39" s="725" t="s">
        <v>821</v>
      </c>
      <c r="L39" s="725" t="s">
        <v>821</v>
      </c>
      <c r="M39" s="745" t="s">
        <v>821</v>
      </c>
      <c r="N39" s="716">
        <v>3</v>
      </c>
    </row>
    <row r="40" spans="1:16" s="712" customFormat="1" ht="57.75">
      <c r="A40" s="715" t="s">
        <v>850</v>
      </c>
      <c r="B40" s="725" t="s">
        <v>821</v>
      </c>
      <c r="C40" s="725" t="s">
        <v>821</v>
      </c>
      <c r="D40" s="725" t="s">
        <v>821</v>
      </c>
      <c r="E40" s="725" t="s">
        <v>821</v>
      </c>
      <c r="F40" s="725" t="s">
        <v>821</v>
      </c>
      <c r="G40" s="725" t="s">
        <v>821</v>
      </c>
      <c r="H40" s="725" t="s">
        <v>821</v>
      </c>
      <c r="I40" s="725" t="s">
        <v>821</v>
      </c>
      <c r="J40" s="725" t="s">
        <v>821</v>
      </c>
      <c r="K40" s="725" t="s">
        <v>821</v>
      </c>
      <c r="L40" s="725" t="s">
        <v>821</v>
      </c>
      <c r="M40" s="745" t="s">
        <v>821</v>
      </c>
      <c r="N40" s="716">
        <v>3</v>
      </c>
    </row>
    <row r="41" spans="1:16" s="712" customFormat="1" ht="43.5">
      <c r="A41" s="713" t="s">
        <v>851</v>
      </c>
      <c r="B41" s="724">
        <v>3</v>
      </c>
      <c r="C41" s="724">
        <v>3</v>
      </c>
      <c r="D41" s="724">
        <v>3</v>
      </c>
      <c r="E41" s="724">
        <v>3</v>
      </c>
      <c r="F41" s="724">
        <v>3</v>
      </c>
      <c r="G41" s="724">
        <v>3</v>
      </c>
      <c r="H41" s="724">
        <v>3</v>
      </c>
      <c r="I41" s="724">
        <v>3</v>
      </c>
      <c r="J41" s="724">
        <v>3</v>
      </c>
      <c r="K41" s="724">
        <v>3</v>
      </c>
      <c r="L41" s="724">
        <v>3</v>
      </c>
      <c r="M41" s="744">
        <v>3</v>
      </c>
      <c r="N41" s="716">
        <v>3</v>
      </c>
    </row>
    <row r="42" spans="1:16" s="712" customFormat="1" ht="51" customHeight="1">
      <c r="A42" s="713" t="s">
        <v>852</v>
      </c>
      <c r="B42" s="724">
        <v>2</v>
      </c>
      <c r="C42" s="724">
        <v>2</v>
      </c>
      <c r="D42" s="724">
        <v>2</v>
      </c>
      <c r="E42" s="724">
        <v>2</v>
      </c>
      <c r="F42" s="724">
        <v>2</v>
      </c>
      <c r="G42" s="724">
        <v>2</v>
      </c>
      <c r="H42" s="724">
        <v>2</v>
      </c>
      <c r="I42" s="724">
        <v>2</v>
      </c>
      <c r="J42" s="724">
        <v>1</v>
      </c>
      <c r="K42" s="724">
        <v>2</v>
      </c>
      <c r="L42" s="724">
        <v>3</v>
      </c>
      <c r="M42" s="744">
        <v>2</v>
      </c>
      <c r="N42" s="937">
        <v>3</v>
      </c>
    </row>
    <row r="43" spans="1:16" s="712" customFormat="1" ht="43.5">
      <c r="A43" s="713" t="s">
        <v>853</v>
      </c>
      <c r="B43" s="724">
        <v>3</v>
      </c>
      <c r="C43" s="724">
        <v>3</v>
      </c>
      <c r="D43" s="724">
        <v>3</v>
      </c>
      <c r="E43" s="724">
        <v>3</v>
      </c>
      <c r="F43" s="724">
        <v>3</v>
      </c>
      <c r="G43" s="724">
        <v>3</v>
      </c>
      <c r="H43" s="724">
        <v>3</v>
      </c>
      <c r="I43" s="724">
        <v>3</v>
      </c>
      <c r="J43" s="724">
        <v>3</v>
      </c>
      <c r="K43" s="724">
        <v>3</v>
      </c>
      <c r="L43" s="724">
        <v>3</v>
      </c>
      <c r="M43" s="744">
        <v>3</v>
      </c>
      <c r="N43" s="717">
        <v>3</v>
      </c>
    </row>
    <row r="44" spans="1:16" s="721" customFormat="1" ht="36" customHeight="1">
      <c r="A44" s="719" t="s">
        <v>494</v>
      </c>
      <c r="B44" s="727">
        <f t="shared" ref="B44:N44" si="0">AVERAGE(B4:B43)</f>
        <v>2.4545454545454546</v>
      </c>
      <c r="C44" s="727">
        <f t="shared" si="0"/>
        <v>2.4848484848484849</v>
      </c>
      <c r="D44" s="727">
        <f t="shared" si="0"/>
        <v>2.3636363636363638</v>
      </c>
      <c r="E44" s="727">
        <f t="shared" si="0"/>
        <v>2.4848484848484849</v>
      </c>
      <c r="F44" s="727">
        <f t="shared" si="0"/>
        <v>2.393939393939394</v>
      </c>
      <c r="G44" s="727">
        <f t="shared" si="0"/>
        <v>2.3636363636363638</v>
      </c>
      <c r="H44" s="727">
        <f>AVERAGE(H4:H43)</f>
        <v>2.6206896551724137</v>
      </c>
      <c r="I44" s="727">
        <f t="shared" si="0"/>
        <v>2.40625</v>
      </c>
      <c r="J44" s="727">
        <f t="shared" si="0"/>
        <v>2.2727272727272729</v>
      </c>
      <c r="K44" s="727">
        <f t="shared" si="0"/>
        <v>2.2727272727272729</v>
      </c>
      <c r="L44" s="727">
        <f>AVERAGE(L4:L43)</f>
        <v>2.5151515151515151</v>
      </c>
      <c r="M44" s="747">
        <f t="shared" si="0"/>
        <v>2.2727272727272729</v>
      </c>
      <c r="N44" s="966">
        <f t="shared" si="0"/>
        <v>2.625</v>
      </c>
      <c r="O44" s="720"/>
      <c r="P44" s="720"/>
    </row>
  </sheetData>
  <mergeCells count="14">
    <mergeCell ref="A2:A3"/>
    <mergeCell ref="C2:C3"/>
    <mergeCell ref="B2:B3"/>
    <mergeCell ref="M2:M3"/>
    <mergeCell ref="N2:N3"/>
    <mergeCell ref="F2:F3"/>
    <mergeCell ref="E2:E3"/>
    <mergeCell ref="D2:D3"/>
    <mergeCell ref="G2:G3"/>
    <mergeCell ref="H2:H3"/>
    <mergeCell ref="I2:I3"/>
    <mergeCell ref="J2:J3"/>
    <mergeCell ref="K2:K3"/>
    <mergeCell ref="L2:L3"/>
  </mergeCells>
  <pageMargins left="0.51181102362204722" right="0.19685039370078741" top="0.55118110236220474" bottom="0.15748031496062992" header="0.19685039370078741" footer="0.11811023622047245"/>
  <pageSetup paperSize="9" scale="90" firstPageNumber="18" orientation="landscape" useFirstPageNumber="1" r:id="rId1"/>
  <headerFooter alignWithMargins="0">
    <oddFooter>&amp;L&amp;"Browallia New,Regular"&amp;14ภาคผนวก รายงานการประเมินตนเอง ปีการศึกษา 2552 : คะแนนผลการประเมินระดับคณะ&amp;R&amp;"Browallia New,Regular"&amp;14annex &amp;P</oddFooter>
  </headerFooter>
  <rowBreaks count="3" manualBreakCount="3">
    <brk id="12" max="16383" man="1"/>
    <brk id="23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324</vt:i4>
      </vt:variant>
    </vt:vector>
  </HeadingPairs>
  <TitlesOfParts>
    <vt:vector size="334" baseType="lpstr">
      <vt:lpstr>ส่วนที่ 2 ผลการดำเนินงาน</vt:lpstr>
      <vt:lpstr>ส่วนที่ 2 ตารางส1</vt:lpstr>
      <vt:lpstr>ส่วนที่ 2 ตารางส2</vt:lpstr>
      <vt:lpstr>ส่วนที่ 2 ตารางส3</vt:lpstr>
      <vt:lpstr>3D</vt:lpstr>
      <vt:lpstr>ตัวบ่งชี้ ISO รวมทุกคณะ</vt:lpstr>
      <vt:lpstr>แผนพัฒนา</vt:lpstr>
      <vt:lpstr>data set คณะ</vt:lpstr>
      <vt:lpstr>หลักสูตร</vt:lpstr>
      <vt:lpstr>คะแนน</vt:lpstr>
      <vt:lpstr>_fac1</vt:lpstr>
      <vt:lpstr>_fac2</vt:lpstr>
      <vt:lpstr>_fac3</vt:lpstr>
      <vt:lpstr>_fac4</vt:lpstr>
      <vt:lpstr>_fac5</vt:lpstr>
      <vt:lpstr>_fac6</vt:lpstr>
      <vt:lpstr>_fac7</vt:lpstr>
      <vt:lpstr>_fac8</vt:lpstr>
      <vt:lpstr>_fac9</vt:lpstr>
      <vt:lpstr>'ส่วนที่ 2 ตารางส3'!_sta1</vt:lpstr>
      <vt:lpstr>_sta1</vt:lpstr>
      <vt:lpstr>'ส่วนที่ 2 ตารางส3'!_sta3</vt:lpstr>
      <vt:lpstr>_sta3</vt:lpstr>
      <vt:lpstr>data1_1.1</vt:lpstr>
      <vt:lpstr>data1_1.2</vt:lpstr>
      <vt:lpstr>data1_2.1</vt:lpstr>
      <vt:lpstr>data1_2.1.1</vt:lpstr>
      <vt:lpstr>data1_2.1.2</vt:lpstr>
      <vt:lpstr>data1_2.1.2a</vt:lpstr>
      <vt:lpstr>data1_2.1.2b</vt:lpstr>
      <vt:lpstr>data1_2.1.3</vt:lpstr>
      <vt:lpstr>data1_2.10</vt:lpstr>
      <vt:lpstr>data1_2.11</vt:lpstr>
      <vt:lpstr>data1_2.12</vt:lpstr>
      <vt:lpstr>data1_2.13</vt:lpstr>
      <vt:lpstr>data1_2.14</vt:lpstr>
      <vt:lpstr>data1_2.15</vt:lpstr>
      <vt:lpstr>data1_2.16</vt:lpstr>
      <vt:lpstr>data1_2.17</vt:lpstr>
      <vt:lpstr>data1_2.18</vt:lpstr>
      <vt:lpstr>data1_2.19</vt:lpstr>
      <vt:lpstr>data1_2.2</vt:lpstr>
      <vt:lpstr>data1_2.2.1</vt:lpstr>
      <vt:lpstr>data1_2.2.2</vt:lpstr>
      <vt:lpstr>data1_2.2.3</vt:lpstr>
      <vt:lpstr>data1_2.20</vt:lpstr>
      <vt:lpstr>data1_2.21</vt:lpstr>
      <vt:lpstr>data1_2.22</vt:lpstr>
      <vt:lpstr>data1_2.23</vt:lpstr>
      <vt:lpstr>data1_2.24</vt:lpstr>
      <vt:lpstr>data1_2.25</vt:lpstr>
      <vt:lpstr>data1_2.25.1</vt:lpstr>
      <vt:lpstr>data1_2.25.2</vt:lpstr>
      <vt:lpstr>data1_2.26</vt:lpstr>
      <vt:lpstr>data1_2.26.1</vt:lpstr>
      <vt:lpstr>data1_2.26.2</vt:lpstr>
      <vt:lpstr>data1_2.27</vt:lpstr>
      <vt:lpstr>data1_2.28</vt:lpstr>
      <vt:lpstr>data1_2.28.1</vt:lpstr>
      <vt:lpstr>data1_2.28.2</vt:lpstr>
      <vt:lpstr>data1_2.29</vt:lpstr>
      <vt:lpstr>data1_2.3</vt:lpstr>
      <vt:lpstr>data1_2.3.1</vt:lpstr>
      <vt:lpstr>data1_2.3.2</vt:lpstr>
      <vt:lpstr>data1_2.30</vt:lpstr>
      <vt:lpstr>data1_2.31</vt:lpstr>
      <vt:lpstr>data1_2.32</vt:lpstr>
      <vt:lpstr>data1_2.33</vt:lpstr>
      <vt:lpstr>data1_2.34</vt:lpstr>
      <vt:lpstr>data1_2.34.1</vt:lpstr>
      <vt:lpstr>data1_2.36</vt:lpstr>
      <vt:lpstr>data1_2.37</vt:lpstr>
      <vt:lpstr>data1_2.38</vt:lpstr>
      <vt:lpstr>data1_2.39</vt:lpstr>
      <vt:lpstr>data1_2.4</vt:lpstr>
      <vt:lpstr>data1_2.4.1</vt:lpstr>
      <vt:lpstr>data1_2.4.2</vt:lpstr>
      <vt:lpstr>data1_2.40</vt:lpstr>
      <vt:lpstr>data1_2.40.1</vt:lpstr>
      <vt:lpstr>data1_2.40.2</vt:lpstr>
      <vt:lpstr>data1_2.40.3</vt:lpstr>
      <vt:lpstr>data1_2.40.4</vt:lpstr>
      <vt:lpstr>data1_2.40.5</vt:lpstr>
      <vt:lpstr>data1_2.41</vt:lpstr>
      <vt:lpstr>data1_2.41.1</vt:lpstr>
      <vt:lpstr>data1_2.41.2</vt:lpstr>
      <vt:lpstr>data1_2.41.3</vt:lpstr>
      <vt:lpstr>data1_2.41.4</vt:lpstr>
      <vt:lpstr>data1_2.41.5</vt:lpstr>
      <vt:lpstr>data1_2.42</vt:lpstr>
      <vt:lpstr>data1_2.43</vt:lpstr>
      <vt:lpstr>data1_2.44</vt:lpstr>
      <vt:lpstr>data1_2.44.1</vt:lpstr>
      <vt:lpstr>data1_2.44.2</vt:lpstr>
      <vt:lpstr>data1_2.44.3</vt:lpstr>
      <vt:lpstr>data1_2.45</vt:lpstr>
      <vt:lpstr>data1_2.45.1</vt:lpstr>
      <vt:lpstr>data1_2.45.2</vt:lpstr>
      <vt:lpstr>data1_2.45.3</vt:lpstr>
      <vt:lpstr>data1_2.45.4</vt:lpstr>
      <vt:lpstr>data1_2.45.5</vt:lpstr>
      <vt:lpstr>data1_2.46</vt:lpstr>
      <vt:lpstr>data1_2.46.1</vt:lpstr>
      <vt:lpstr>data1_2.46.2</vt:lpstr>
      <vt:lpstr>data1_2.46.3</vt:lpstr>
      <vt:lpstr>data1_2.46.4</vt:lpstr>
      <vt:lpstr>data1_2.46.5</vt:lpstr>
      <vt:lpstr>data1_2.5</vt:lpstr>
      <vt:lpstr>data1_2.5.1</vt:lpstr>
      <vt:lpstr>data1_2.5.2</vt:lpstr>
      <vt:lpstr>data1_2.5.3</vt:lpstr>
      <vt:lpstr>data1_2.6</vt:lpstr>
      <vt:lpstr>data1_2.6.1</vt:lpstr>
      <vt:lpstr>data1_2.6.2</vt:lpstr>
      <vt:lpstr>data1_2.6.3</vt:lpstr>
      <vt:lpstr>data1_2.7</vt:lpstr>
      <vt:lpstr>data1_2.7.1</vt:lpstr>
      <vt:lpstr>data1_2.7.1a</vt:lpstr>
      <vt:lpstr>data1_2.7.1b</vt:lpstr>
      <vt:lpstr>data1_2.7.2</vt:lpstr>
      <vt:lpstr>data1_2.7.3</vt:lpstr>
      <vt:lpstr>data1_2.8</vt:lpstr>
      <vt:lpstr>data1_2.8.1</vt:lpstr>
      <vt:lpstr>data1_2.8.1a</vt:lpstr>
      <vt:lpstr>data1_2.8.1b</vt:lpstr>
      <vt:lpstr>data1_2.8.2</vt:lpstr>
      <vt:lpstr>data1_2.8.3</vt:lpstr>
      <vt:lpstr>data1_2.9</vt:lpstr>
      <vt:lpstr>data1_2.9.1</vt:lpstr>
      <vt:lpstr>data1_2.9.2</vt:lpstr>
      <vt:lpstr>data1_3.1</vt:lpstr>
      <vt:lpstr>data1_3.2</vt:lpstr>
      <vt:lpstr>data1_3.3</vt:lpstr>
      <vt:lpstr>data1_3.3.1</vt:lpstr>
      <vt:lpstr>data1_3.3.10</vt:lpstr>
      <vt:lpstr>data1_3.3.2</vt:lpstr>
      <vt:lpstr>data1_3.3.3</vt:lpstr>
      <vt:lpstr>data1_3.3.4</vt:lpstr>
      <vt:lpstr>data1_3.3.5</vt:lpstr>
      <vt:lpstr>data1_3.3.6</vt:lpstr>
      <vt:lpstr>data1_3.3.7</vt:lpstr>
      <vt:lpstr>data1_3.3.8</vt:lpstr>
      <vt:lpstr>data1_3.3.9</vt:lpstr>
      <vt:lpstr>data1_4.1</vt:lpstr>
      <vt:lpstr>data1_4.1.1</vt:lpstr>
      <vt:lpstr>data1_4.1.2</vt:lpstr>
      <vt:lpstr>data1_4.2</vt:lpstr>
      <vt:lpstr>data1_4.2.1</vt:lpstr>
      <vt:lpstr>data1_4.2.2</vt:lpstr>
      <vt:lpstr>data1_4.3</vt:lpstr>
      <vt:lpstr>data1_4.3.1</vt:lpstr>
      <vt:lpstr>data1_4.3.2</vt:lpstr>
      <vt:lpstr>data1_4.3.3</vt:lpstr>
      <vt:lpstr>data1_4.3.4</vt:lpstr>
      <vt:lpstr>data1_4.3.5</vt:lpstr>
      <vt:lpstr>data1_4.4</vt:lpstr>
      <vt:lpstr>data1_4.5</vt:lpstr>
      <vt:lpstr>data1_4.5.1</vt:lpstr>
      <vt:lpstr>data1_4.5.2</vt:lpstr>
      <vt:lpstr>data1_4.6</vt:lpstr>
      <vt:lpstr>data1_4.6.1</vt:lpstr>
      <vt:lpstr>data1_4.6.2</vt:lpstr>
      <vt:lpstr>data1_5.1</vt:lpstr>
      <vt:lpstr>data1_5.2</vt:lpstr>
      <vt:lpstr>data1_5.3</vt:lpstr>
      <vt:lpstr>data1_5.4</vt:lpstr>
      <vt:lpstr>data1_6.1</vt:lpstr>
      <vt:lpstr>data1_6.2</vt:lpstr>
      <vt:lpstr>data1_7.1</vt:lpstr>
      <vt:lpstr>data1_7.1.1</vt:lpstr>
      <vt:lpstr>data1_7.1.2</vt:lpstr>
      <vt:lpstr>data1_7.1.3</vt:lpstr>
      <vt:lpstr>data1_7.2</vt:lpstr>
      <vt:lpstr>data1_7.2.1</vt:lpstr>
      <vt:lpstr>data1_7.2.2</vt:lpstr>
      <vt:lpstr>data1_7.2.3</vt:lpstr>
      <vt:lpstr>data1_71</vt:lpstr>
      <vt:lpstr>data1_8.1</vt:lpstr>
      <vt:lpstr>data1_8.10</vt:lpstr>
      <vt:lpstr>data1_8.2</vt:lpstr>
      <vt:lpstr>data1_8.3</vt:lpstr>
      <vt:lpstr>data1_8.4</vt:lpstr>
      <vt:lpstr>data1_8.5</vt:lpstr>
      <vt:lpstr>data1_8.6</vt:lpstr>
      <vt:lpstr>data1_8.7</vt:lpstr>
      <vt:lpstr>data1_8.8</vt:lpstr>
      <vt:lpstr>data1_8.9</vt:lpstr>
      <vt:lpstr>data1_9.1</vt:lpstr>
      <vt:lpstr>obj1.1</vt:lpstr>
      <vt:lpstr>obj1.2</vt:lpstr>
      <vt:lpstr>obj2.1</vt:lpstr>
      <vt:lpstr>obj2.10</vt:lpstr>
      <vt:lpstr>obj2.11</vt:lpstr>
      <vt:lpstr>obj2.12</vt:lpstr>
      <vt:lpstr>obj2.2</vt:lpstr>
      <vt:lpstr>obj2.3</vt:lpstr>
      <vt:lpstr>obj2.4</vt:lpstr>
      <vt:lpstr>obj2.5</vt:lpstr>
      <vt:lpstr>obj2.6</vt:lpstr>
      <vt:lpstr>obj2.7</vt:lpstr>
      <vt:lpstr>obj2.8</vt:lpstr>
      <vt:lpstr>obj2.9</vt:lpstr>
      <vt:lpstr>obj3.1</vt:lpstr>
      <vt:lpstr>obj3.2</vt:lpstr>
      <vt:lpstr>obj4.1</vt:lpstr>
      <vt:lpstr>obj4.2</vt:lpstr>
      <vt:lpstr>obj4.3</vt:lpstr>
      <vt:lpstr>obj4.4</vt:lpstr>
      <vt:lpstr>obj5.1</vt:lpstr>
      <vt:lpstr>obj5.2</vt:lpstr>
      <vt:lpstr>obj5.3</vt:lpstr>
      <vt:lpstr>obj5.4</vt:lpstr>
      <vt:lpstr>obj5.5</vt:lpstr>
      <vt:lpstr>obj6.1</vt:lpstr>
      <vt:lpstr>obj7.1</vt:lpstr>
      <vt:lpstr>obj7.2</vt:lpstr>
      <vt:lpstr>obj7.3</vt:lpstr>
      <vt:lpstr>obj7.4</vt:lpstr>
      <vt:lpstr>obj7.5</vt:lpstr>
      <vt:lpstr>obj7.6</vt:lpstr>
      <vt:lpstr>obj7.7</vt:lpstr>
      <vt:lpstr>obj7.8</vt:lpstr>
      <vt:lpstr>obj7.9</vt:lpstr>
      <vt:lpstr>obj8.1</vt:lpstr>
      <vt:lpstr>obj8.2</vt:lpstr>
      <vt:lpstr>obj9.1</vt:lpstr>
      <vt:lpstr>obj9.2</vt:lpstr>
      <vt:lpstr>obj9.3</vt:lpstr>
      <vt:lpstr>'3D'!Print_Area</vt:lpstr>
      <vt:lpstr>'data set คณะ'!Print_Area</vt:lpstr>
      <vt:lpstr>'ตัวบ่งชี้ ISO รวมทุกคณะ'!Print_Area</vt:lpstr>
      <vt:lpstr>'ส่วนที่ 2 ตารางส1'!Print_Area</vt:lpstr>
      <vt:lpstr>'ส่วนที่ 2 ตารางส2'!Print_Area</vt:lpstr>
      <vt:lpstr>'ส่วนที่ 2 ตารางส3'!Print_Area</vt:lpstr>
      <vt:lpstr>'ส่วนที่ 2 ผลการดำเนินงาน'!Print_Area</vt:lpstr>
      <vt:lpstr>'data set คณะ'!Print_Titles</vt:lpstr>
      <vt:lpstr>คะแนน!Print_Titles</vt:lpstr>
      <vt:lpstr>'ตัวบ่งชี้ ISO รวมทุกคณะ'!Print_Titles</vt:lpstr>
      <vt:lpstr>แผนพัฒนา!Print_Titles</vt:lpstr>
      <vt:lpstr>'ส่วนที่ 2 ตารางส1'!Print_Titles</vt:lpstr>
      <vt:lpstr>'ส่วนที่ 2 ตารางส2'!Print_Titles</vt:lpstr>
      <vt:lpstr>'ส่วนที่ 2 ตารางส3'!Print_Titles</vt:lpstr>
      <vt:lpstr>res1.1</vt:lpstr>
      <vt:lpstr>res1.2</vt:lpstr>
      <vt:lpstr>res2.1</vt:lpstr>
      <vt:lpstr>res2.10</vt:lpstr>
      <vt:lpstr>res2.11</vt:lpstr>
      <vt:lpstr>res2.12</vt:lpstr>
      <vt:lpstr>res2.2</vt:lpstr>
      <vt:lpstr>res2.3</vt:lpstr>
      <vt:lpstr>res2.4</vt:lpstr>
      <vt:lpstr>res2.5</vt:lpstr>
      <vt:lpstr>res2.6</vt:lpstr>
      <vt:lpstr>res2.7</vt:lpstr>
      <vt:lpstr>res2.8</vt:lpstr>
      <vt:lpstr>res2.9</vt:lpstr>
      <vt:lpstr>res3.1</vt:lpstr>
      <vt:lpstr>res3.2</vt:lpstr>
      <vt:lpstr>res4.1</vt:lpstr>
      <vt:lpstr>res4.2</vt:lpstr>
      <vt:lpstr>res4.3</vt:lpstr>
      <vt:lpstr>res4.4</vt:lpstr>
      <vt:lpstr>res5.1</vt:lpstr>
      <vt:lpstr>res5.2</vt:lpstr>
      <vt:lpstr>res5.3</vt:lpstr>
      <vt:lpstr>res5.4</vt:lpstr>
      <vt:lpstr>res5.5</vt:lpstr>
      <vt:lpstr>res6.1</vt:lpstr>
      <vt:lpstr>res7.1</vt:lpstr>
      <vt:lpstr>res7.2</vt:lpstr>
      <vt:lpstr>res7.3</vt:lpstr>
      <vt:lpstr>res7.4</vt:lpstr>
      <vt:lpstr>res7.5</vt:lpstr>
      <vt:lpstr>res7.6</vt:lpstr>
      <vt:lpstr>res7.7</vt:lpstr>
      <vt:lpstr>res7.8</vt:lpstr>
      <vt:lpstr>res7.9</vt:lpstr>
      <vt:lpstr>res8.1</vt:lpstr>
      <vt:lpstr>res8.2</vt:lpstr>
      <vt:lpstr>res9.1</vt:lpstr>
      <vt:lpstr>res9.2</vt:lpstr>
      <vt:lpstr>res9.3</vt:lpstr>
      <vt:lpstr>sco1.1</vt:lpstr>
      <vt:lpstr>sco1.2</vt:lpstr>
      <vt:lpstr>sco2.1</vt:lpstr>
      <vt:lpstr>sco2.10</vt:lpstr>
      <vt:lpstr>sco2.11</vt:lpstr>
      <vt:lpstr>sco2.12</vt:lpstr>
      <vt:lpstr>sco2.2</vt:lpstr>
      <vt:lpstr>sco2.3</vt:lpstr>
      <vt:lpstr>sco2.4</vt:lpstr>
      <vt:lpstr>sco2.5</vt:lpstr>
      <vt:lpstr>sco2.6</vt:lpstr>
      <vt:lpstr>sco2.7</vt:lpstr>
      <vt:lpstr>sco2.8</vt:lpstr>
      <vt:lpstr>sco2.9</vt:lpstr>
      <vt:lpstr>sco3.1</vt:lpstr>
      <vt:lpstr>sco3.2</vt:lpstr>
      <vt:lpstr>sco4.1</vt:lpstr>
      <vt:lpstr>sco4.2</vt:lpstr>
      <vt:lpstr>sco4.3</vt:lpstr>
      <vt:lpstr>sco4.4</vt:lpstr>
      <vt:lpstr>sco5.1</vt:lpstr>
      <vt:lpstr>sco5.2</vt:lpstr>
      <vt:lpstr>sco5.3</vt:lpstr>
      <vt:lpstr>sco5.4</vt:lpstr>
      <vt:lpstr>sco5.5</vt:lpstr>
      <vt:lpstr>sco6.1</vt:lpstr>
      <vt:lpstr>sco7.1</vt:lpstr>
      <vt:lpstr>sco7.2</vt:lpstr>
      <vt:lpstr>sco7.3</vt:lpstr>
      <vt:lpstr>sco7.4</vt:lpstr>
      <vt:lpstr>sco7.5</vt:lpstr>
      <vt:lpstr>sco7.6</vt:lpstr>
      <vt:lpstr>sco7.7</vt:lpstr>
      <vt:lpstr>sco7.8</vt:lpstr>
      <vt:lpstr>sco7.9</vt:lpstr>
      <vt:lpstr>sco8.1</vt:lpstr>
      <vt:lpstr>sco8.2</vt:lpstr>
      <vt:lpstr>sco9.1</vt:lpstr>
      <vt:lpstr>sco9.2</vt:lpstr>
      <vt:lpstr>sco9.3</vt:lpstr>
      <vt:lpstr>sta2.1</vt:lpstr>
      <vt:lpstr>sta2.2</vt:lpstr>
      <vt:lpstr>val1.2</vt:lpstr>
      <vt:lpstr>val2.4.1</vt:lpstr>
      <vt:lpstr>val2.5.1</vt:lpstr>
      <vt:lpstr>val2.5.2</vt:lpstr>
      <vt:lpstr>val2.5.3</vt:lpstr>
      <vt:lpstr>val2.6.1</vt:lpstr>
      <vt:lpstr>val2.6.2</vt:lpstr>
      <vt:lpstr>val2.6.3</vt:lpstr>
      <vt:lpstr>val2.6.4</vt:lpstr>
      <vt:lpstr>val2.9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dpu2009</cp:lastModifiedBy>
  <cp:lastPrinted>2010-08-16T08:51:03Z</cp:lastPrinted>
  <dcterms:created xsi:type="dcterms:W3CDTF">2007-09-20T02:53:41Z</dcterms:created>
  <dcterms:modified xsi:type="dcterms:W3CDTF">2010-09-13T07:19:15Z</dcterms:modified>
</cp:coreProperties>
</file>